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6750" activeTab="0"/>
  </bookViews>
  <sheets>
    <sheet name="Summary of Profits &amp; BS" sheetId="1" r:id="rId1"/>
    <sheet name="Summary Accounts " sheetId="2" r:id="rId2"/>
    <sheet name="Detail" sheetId="3" r:id="rId3"/>
  </sheets>
  <externalReferences>
    <externalReference r:id="rId6"/>
  </externalReferences>
  <definedNames>
    <definedName name="_xlnm.Print_Area" localSheetId="2">'Detail'!$A$1:$L$85</definedName>
    <definedName name="_xlnm.Print_Area" localSheetId="1">'Summary Accounts '!$C$2:$M$70</definedName>
    <definedName name="_xlnm.Print_Area" localSheetId="0">'Summary of Profits &amp; BS'!$C$2:$M$3</definedName>
  </definedNames>
  <calcPr fullCalcOnLoad="1"/>
</workbook>
</file>

<file path=xl/sharedStrings.xml><?xml version="1.0" encoding="utf-8"?>
<sst xmlns="http://schemas.openxmlformats.org/spreadsheetml/2006/main" count="200" uniqueCount="92">
  <si>
    <t>St Thomas' Primary School PTA</t>
  </si>
  <si>
    <t>Income</t>
  </si>
  <si>
    <t>£</t>
  </si>
  <si>
    <t>Mothers Day Gifts</t>
  </si>
  <si>
    <t>Fathers Day Gifts</t>
  </si>
  <si>
    <t>Summer Disco</t>
  </si>
  <si>
    <t>Summer Fair</t>
  </si>
  <si>
    <t>Event Expenditure</t>
  </si>
  <si>
    <t>General Expenses</t>
  </si>
  <si>
    <t>NCPTA Insurance</t>
  </si>
  <si>
    <t>Stationery &amp; Welcome party</t>
  </si>
  <si>
    <t>NET INCOME FROM FUNDRAISING</t>
  </si>
  <si>
    <t>Purchases</t>
  </si>
  <si>
    <t>Surplus of Income over Expenditure</t>
  </si>
  <si>
    <t>Prior year adjustment</t>
  </si>
  <si>
    <t>Prior Year Adjustment</t>
  </si>
  <si>
    <t>Refreshments at meetings</t>
  </si>
  <si>
    <t>First Aid training</t>
  </si>
  <si>
    <t>New Parents Evening Refreshments</t>
  </si>
  <si>
    <t>Class/Children Christmas Presents</t>
  </si>
  <si>
    <t>Year 6 Hoodies</t>
  </si>
  <si>
    <t>Fashion Show</t>
  </si>
  <si>
    <t>Recipe Book</t>
  </si>
  <si>
    <t>Bank charges</t>
  </si>
  <si>
    <t>Junior Cinema Trip</t>
  </si>
  <si>
    <t>Infant Pantomine</t>
  </si>
  <si>
    <t>Books</t>
  </si>
  <si>
    <t>Event Tents</t>
  </si>
  <si>
    <t>Annette Reeve</t>
  </si>
  <si>
    <t>Honorary Auditor</t>
  </si>
  <si>
    <t>Treasurer</t>
  </si>
  <si>
    <t>Date</t>
  </si>
  <si>
    <t>Easy Fundraising</t>
  </si>
  <si>
    <t>Basket Bash</t>
  </si>
  <si>
    <t>Luxury Rafle</t>
  </si>
  <si>
    <t>Easter Egg Competition</t>
  </si>
  <si>
    <t>Easter egg competition</t>
  </si>
  <si>
    <t>Sports Day Refreshments</t>
  </si>
  <si>
    <t>Climbing Frame</t>
  </si>
  <si>
    <t>Victorian Day</t>
  </si>
  <si>
    <t>Luxury Raffle</t>
  </si>
  <si>
    <t>Alex Birch</t>
  </si>
  <si>
    <t xml:space="preserve">Christmas Cards </t>
  </si>
  <si>
    <t>Analysis of Profit:</t>
  </si>
  <si>
    <t>Christmas Cards</t>
  </si>
  <si>
    <t xml:space="preserve">Easter Egg Design Comp </t>
  </si>
  <si>
    <t xml:space="preserve">Luxury Raffle </t>
  </si>
  <si>
    <t>Nativity Refreshments</t>
  </si>
  <si>
    <t>Smartie Challenge</t>
  </si>
  <si>
    <t xml:space="preserve">Smartie Challenge </t>
  </si>
  <si>
    <t xml:space="preserve">Xmas Jumper Day </t>
  </si>
  <si>
    <t>Clothes Recycling</t>
  </si>
  <si>
    <t xml:space="preserve">Other </t>
  </si>
  <si>
    <t>Chess Club</t>
  </si>
  <si>
    <t>IPads</t>
  </si>
  <si>
    <t>Lost Property Boxes</t>
  </si>
  <si>
    <t>Licences</t>
  </si>
  <si>
    <t xml:space="preserve">TerraCycle Bins </t>
  </si>
  <si>
    <t>Scooter Shed / Scooters</t>
  </si>
  <si>
    <t xml:space="preserve">Unsold Fathers / Mothers Day presents </t>
  </si>
  <si>
    <t xml:space="preserve">Non-Uniform Day </t>
  </si>
  <si>
    <t xml:space="preserve">Unsold Bar Stock </t>
  </si>
  <si>
    <t>Income and Expenditure Account for the Year Ended 31 August 2019</t>
  </si>
  <si>
    <t>Nativity Refreshments / Xmas Fair</t>
  </si>
  <si>
    <t xml:space="preserve">Ellen Little </t>
  </si>
  <si>
    <t>-</t>
  </si>
  <si>
    <t>%</t>
  </si>
  <si>
    <t xml:space="preserve">Total Income </t>
  </si>
  <si>
    <t>Total Event Expenditure</t>
  </si>
  <si>
    <t>Total General Expenses</t>
  </si>
  <si>
    <t>Total Purchases</t>
  </si>
  <si>
    <t>SURPLUS FOR THE YEAR</t>
  </si>
  <si>
    <t xml:space="preserve">Rebecca Judson </t>
  </si>
  <si>
    <t>Summary of Profit:</t>
  </si>
  <si>
    <t>Current Assets</t>
  </si>
  <si>
    <t>Bank</t>
  </si>
  <si>
    <t>Petty Cash</t>
  </si>
  <si>
    <t>Income Receivable</t>
  </si>
  <si>
    <t>Uncleared cheques</t>
  </si>
  <si>
    <t>Current Liabilities</t>
  </si>
  <si>
    <t xml:space="preserve">Unpresented Cheques / Payments </t>
  </si>
  <si>
    <t>Surplus of income over expenditure</t>
  </si>
  <si>
    <t>Movement in Year</t>
  </si>
  <si>
    <t xml:space="preserve">Funds Available for Dispersement </t>
  </si>
  <si>
    <t>Closing Funds C/F</t>
  </si>
  <si>
    <t>Opening Funds B/F</t>
  </si>
  <si>
    <t>Balance Sheet As At 31 August 2019</t>
  </si>
  <si>
    <t>Auditor's Report</t>
  </si>
  <si>
    <t>I have audited the above financial statements in accordance with approved auditing standards. In my</t>
  </si>
  <si>
    <t>opinion the financial statements give a true and fair view of the state of the Association's affairs as</t>
  </si>
  <si>
    <t>at 31 August 2019 and of the income and expenditure for the year then ended.</t>
  </si>
  <si>
    <t>Date: 23/9/19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</si>
</sst>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);[Red]\(#,##0.00\)"/>
    <numFmt numFmtId="165" formatCode="#,##0.000_);[Red]\(#,##0.000\)"/>
    <numFmt numFmtId="166" formatCode="#,##0.00_ ;\-#,##0.00\ "/>
    <numFmt numFmtId="167" formatCode="#,##0.0_ ;\-#,##0.0\ "/>
    <numFmt numFmtId="168" formatCode="#,##0_ ;\-#,##0\ "/>
    <numFmt numFmtId="169" formatCode="#,##0_ ;\(#,##0\)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10" xfId="0" applyNumberFormat="1" applyFont="1" applyFill="1" applyBorder="1" applyAlignment="1" applyProtection="1">
      <alignment/>
      <protection locked="0"/>
    </xf>
    <xf numFmtId="166" fontId="0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166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168" fontId="0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ont="1" applyFill="1" applyBorder="1" applyAlignment="1" applyProtection="1">
      <alignment horizontal="center"/>
      <protection locked="0"/>
    </xf>
    <xf numFmtId="168" fontId="0" fillId="0" borderId="10" xfId="0" applyNumberFormat="1" applyBorder="1" applyAlignment="1">
      <alignment horizontal="center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10" xfId="0" applyNumberFormat="1" applyFont="1" applyFill="1" applyBorder="1" applyAlignment="1" applyProtection="1">
      <alignment horizontal="center"/>
      <protection locked="0"/>
    </xf>
    <xf numFmtId="166" fontId="0" fillId="0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10" xfId="0" applyNumberFormat="1" applyFont="1" applyFill="1" applyBorder="1" applyAlignment="1" applyProtection="1">
      <alignment horizontal="center"/>
      <protection locked="0"/>
    </xf>
    <xf numFmtId="169" fontId="2" fillId="0" borderId="11" xfId="0" applyNumberFormat="1" applyFont="1" applyFill="1" applyBorder="1" applyAlignment="1" applyProtection="1">
      <alignment horizontal="center"/>
      <protection locked="0"/>
    </xf>
    <xf numFmtId="168" fontId="2" fillId="0" borderId="11" xfId="0" applyNumberFormat="1" applyFont="1" applyFill="1" applyBorder="1" applyAlignment="1" applyProtection="1">
      <alignment horizontal="center"/>
      <protection locked="0"/>
    </xf>
    <xf numFmtId="9" fontId="0" fillId="0" borderId="0" xfId="57" applyFont="1" applyFill="1" applyBorder="1" applyAlignment="1" applyProtection="1">
      <alignment horizontal="center"/>
      <protection locked="0"/>
    </xf>
    <xf numFmtId="9" fontId="0" fillId="0" borderId="11" xfId="57" applyFont="1" applyFill="1" applyBorder="1" applyAlignment="1" applyProtection="1">
      <alignment horizontal="center"/>
      <protection locked="0"/>
    </xf>
    <xf numFmtId="168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168" fontId="2" fillId="0" borderId="0" xfId="0" applyNumberFormat="1" applyFont="1" applyFill="1" applyBorder="1" applyAlignment="1" applyProtection="1">
      <alignment horizontal="center"/>
      <protection locked="0"/>
    </xf>
    <xf numFmtId="168" fontId="2" fillId="0" borderId="0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169" fontId="2" fillId="0" borderId="0" xfId="0" applyNumberFormat="1" applyFont="1" applyFill="1" applyBorder="1" applyAlignment="1" applyProtection="1">
      <alignment horizontal="center"/>
      <protection locked="0"/>
    </xf>
    <xf numFmtId="169" fontId="2" fillId="0" borderId="0" xfId="0" applyNumberFormat="1" applyFont="1" applyFill="1" applyBorder="1" applyAlignment="1" applyProtection="1">
      <alignment/>
      <protection locked="0"/>
    </xf>
    <xf numFmtId="0" fontId="23" fillId="0" borderId="0" xfId="0" applyFont="1" applyAlignment="1">
      <alignment/>
    </xf>
    <xf numFmtId="4" fontId="23" fillId="0" borderId="0" xfId="0" applyNumberFormat="1" applyFont="1" applyFill="1" applyAlignment="1">
      <alignment/>
    </xf>
    <xf numFmtId="0" fontId="2" fillId="33" borderId="12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168" fontId="0" fillId="0" borderId="13" xfId="0" applyNumberFormat="1" applyFont="1" applyFill="1" applyBorder="1" applyAlignment="1" applyProtection="1">
      <alignment horizontal="center"/>
      <protection locked="0"/>
    </xf>
    <xf numFmtId="168" fontId="0" fillId="0" borderId="13" xfId="0" applyNumberFormat="1" applyBorder="1" applyAlignment="1">
      <alignment horizontal="center"/>
    </xf>
    <xf numFmtId="168" fontId="2" fillId="0" borderId="13" xfId="0" applyNumberFormat="1" applyFont="1" applyFill="1" applyBorder="1" applyAlignment="1" applyProtection="1">
      <alignment horizontal="center"/>
      <protection locked="0"/>
    </xf>
    <xf numFmtId="166" fontId="0" fillId="0" borderId="13" xfId="0" applyNumberFormat="1" applyFont="1" applyFill="1" applyBorder="1" applyAlignment="1" applyProtection="1">
      <alignment horizontal="center"/>
      <protection locked="0"/>
    </xf>
    <xf numFmtId="169" fontId="0" fillId="0" borderId="13" xfId="0" applyNumberFormat="1" applyFont="1" applyFill="1" applyBorder="1" applyAlignment="1" applyProtection="1">
      <alignment horizontal="center"/>
      <protection locked="0"/>
    </xf>
    <xf numFmtId="169" fontId="2" fillId="0" borderId="13" xfId="0" applyNumberFormat="1" applyFont="1" applyFill="1" applyBorder="1" applyAlignment="1" applyProtection="1">
      <alignment horizontal="center"/>
      <protection locked="0"/>
    </xf>
    <xf numFmtId="166" fontId="2" fillId="0" borderId="13" xfId="0" applyNumberFormat="1" applyFont="1" applyFill="1" applyBorder="1" applyAlignment="1" applyProtection="1">
      <alignment horizontal="center"/>
      <protection locked="0"/>
    </xf>
    <xf numFmtId="0" fontId="0" fillId="33" borderId="14" xfId="0" applyNumberFormat="1" applyFont="1" applyFill="1" applyBorder="1" applyAlignment="1" applyProtection="1">
      <alignment/>
      <protection locked="0"/>
    </xf>
    <xf numFmtId="0" fontId="2" fillId="33" borderId="15" xfId="0" applyNumberFormat="1" applyFont="1" applyFill="1" applyBorder="1" applyAlignment="1" applyProtection="1">
      <alignment horizontal="center"/>
      <protection locked="0"/>
    </xf>
    <xf numFmtId="0" fontId="2" fillId="33" borderId="15" xfId="0" applyNumberFormat="1" applyFont="1" applyFill="1" applyBorder="1" applyAlignment="1" applyProtection="1">
      <alignment horizontal="center"/>
      <protection locked="0"/>
    </xf>
    <xf numFmtId="0" fontId="2" fillId="33" borderId="16" xfId="0" applyNumberFormat="1" applyFont="1" applyFill="1" applyBorder="1" applyAlignment="1" applyProtection="1">
      <alignment horizontal="center"/>
      <protection locked="0"/>
    </xf>
    <xf numFmtId="0" fontId="2" fillId="33" borderId="17" xfId="0" applyNumberFormat="1" applyFont="1" applyFill="1" applyBorder="1" applyAlignment="1" applyProtection="1">
      <alignment horizontal="center"/>
      <protection locked="0"/>
    </xf>
    <xf numFmtId="0" fontId="0" fillId="33" borderId="18" xfId="0" applyNumberFormat="1" applyFont="1" applyFill="1" applyBorder="1" applyAlignment="1" applyProtection="1">
      <alignment/>
      <protection locked="0"/>
    </xf>
    <xf numFmtId="0" fontId="2" fillId="33" borderId="19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>
      <alignment/>
      <protection locked="0"/>
    </xf>
    <xf numFmtId="0" fontId="2" fillId="0" borderId="21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0" xfId="0" applyNumberFormat="1" applyFont="1" applyFill="1" applyBorder="1" applyAlignment="1" applyProtection="1">
      <alignment/>
      <protection locked="0"/>
    </xf>
    <xf numFmtId="168" fontId="0" fillId="0" borderId="21" xfId="0" applyNumberFormat="1" applyFont="1" applyFill="1" applyBorder="1" applyAlignment="1" applyProtection="1">
      <alignment/>
      <protection locked="0"/>
    </xf>
    <xf numFmtId="0" fontId="0" fillId="0" borderId="20" xfId="0" applyNumberForma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168" fontId="0" fillId="0" borderId="21" xfId="0" applyNumberFormat="1" applyBorder="1" applyAlignment="1">
      <alignment/>
    </xf>
    <xf numFmtId="0" fontId="2" fillId="0" borderId="20" xfId="0" applyNumberFormat="1" applyFont="1" applyFill="1" applyBorder="1" applyAlignment="1" applyProtection="1">
      <alignment/>
      <protection locked="0"/>
    </xf>
    <xf numFmtId="168" fontId="2" fillId="0" borderId="21" xfId="0" applyNumberFormat="1" applyFont="1" applyFill="1" applyBorder="1" applyAlignment="1" applyProtection="1">
      <alignment/>
      <protection locked="0"/>
    </xf>
    <xf numFmtId="166" fontId="0" fillId="0" borderId="21" xfId="0" applyNumberFormat="1" applyFont="1" applyFill="1" applyBorder="1" applyAlignment="1" applyProtection="1">
      <alignment/>
      <protection locked="0"/>
    </xf>
    <xf numFmtId="169" fontId="0" fillId="0" borderId="21" xfId="0" applyNumberFormat="1" applyFont="1" applyFill="1" applyBorder="1" applyAlignment="1" applyProtection="1">
      <alignment/>
      <protection locked="0"/>
    </xf>
    <xf numFmtId="169" fontId="2" fillId="0" borderId="21" xfId="0" applyNumberFormat="1" applyFont="1" applyFill="1" applyBorder="1" applyAlignment="1" applyProtection="1">
      <alignment/>
      <protection locked="0"/>
    </xf>
    <xf numFmtId="166" fontId="2" fillId="0" borderId="21" xfId="0" applyNumberFormat="1" applyFont="1" applyFill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164" fontId="0" fillId="0" borderId="15" xfId="0" applyNumberFormat="1" applyFont="1" applyFill="1" applyBorder="1" applyAlignment="1" applyProtection="1">
      <alignment/>
      <protection locked="0"/>
    </xf>
    <xf numFmtId="164" fontId="0" fillId="0" borderId="17" xfId="0" applyNumberFormat="1" applyFont="1" applyFill="1" applyBorder="1" applyAlignment="1" applyProtection="1">
      <alignment/>
      <protection locked="0"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NumberFormat="1" applyFont="1" applyFill="1" applyBorder="1" applyAlignment="1" applyProtection="1">
      <alignment/>
      <protection locked="0"/>
    </xf>
    <xf numFmtId="0" fontId="0" fillId="0" borderId="28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0" fillId="0" borderId="28" xfId="0" applyNumberFormat="1" applyFill="1" applyBorder="1" applyAlignment="1" applyProtection="1">
      <alignment/>
      <protection locked="0"/>
    </xf>
    <xf numFmtId="166" fontId="0" fillId="0" borderId="23" xfId="0" applyNumberFormat="1" applyFont="1" applyFill="1" applyBorder="1" applyAlignment="1" applyProtection="1">
      <alignment/>
      <protection locked="0"/>
    </xf>
    <xf numFmtId="0" fontId="1" fillId="0" borderId="27" xfId="0" applyNumberFormat="1" applyFont="1" applyFill="1" applyBorder="1" applyAlignment="1" applyProtection="1">
      <alignment/>
      <protection locked="0"/>
    </xf>
    <xf numFmtId="0" fontId="1" fillId="33" borderId="29" xfId="0" applyNumberFormat="1" applyFont="1" applyFill="1" applyBorder="1" applyAlignment="1" applyProtection="1">
      <alignment/>
      <protection locked="0"/>
    </xf>
    <xf numFmtId="0" fontId="0" fillId="33" borderId="30" xfId="0" applyNumberFormat="1" applyFont="1" applyFill="1" applyBorder="1" applyAlignment="1" applyProtection="1">
      <alignment/>
      <protection locked="0"/>
    </xf>
    <xf numFmtId="0" fontId="2" fillId="33" borderId="30" xfId="0" applyNumberFormat="1" applyFont="1" applyFill="1" applyBorder="1" applyAlignment="1" applyProtection="1">
      <alignment horizontal="center"/>
      <protection locked="0"/>
    </xf>
    <xf numFmtId="0" fontId="0" fillId="33" borderId="31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32" xfId="0" applyNumberFormat="1" applyFont="1" applyFill="1" applyBorder="1" applyAlignment="1" applyProtection="1">
      <alignment horizontal="center"/>
      <protection locked="0"/>
    </xf>
    <xf numFmtId="3" fontId="2" fillId="0" borderId="11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2" fillId="0" borderId="27" xfId="0" applyNumberFormat="1" applyFont="1" applyFill="1" applyBorder="1" applyAlignment="1" applyProtection="1">
      <alignment/>
      <protection locked="0"/>
    </xf>
    <xf numFmtId="0" fontId="2" fillId="0" borderId="21" xfId="0" applyNumberFormat="1" applyFont="1" applyFill="1" applyBorder="1" applyAlignment="1" applyProtection="1">
      <alignment/>
      <protection locked="0"/>
    </xf>
    <xf numFmtId="0" fontId="0" fillId="33" borderId="26" xfId="0" applyNumberFormat="1" applyFont="1" applyFill="1" applyBorder="1" applyAlignment="1" applyProtection="1">
      <alignment/>
      <protection locked="0"/>
    </xf>
    <xf numFmtId="0" fontId="0" fillId="33" borderId="15" xfId="0" applyNumberFormat="1" applyFont="1" applyFill="1" applyBorder="1" applyAlignment="1" applyProtection="1">
      <alignment/>
      <protection locked="0"/>
    </xf>
    <xf numFmtId="0" fontId="0" fillId="33" borderId="17" xfId="0" applyNumberFormat="1" applyFont="1" applyFill="1" applyBorder="1" applyAlignment="1" applyProtection="1">
      <alignment/>
      <protection locked="0"/>
    </xf>
    <xf numFmtId="0" fontId="0" fillId="33" borderId="33" xfId="0" applyNumberFormat="1" applyFont="1" applyFill="1" applyBorder="1" applyAlignment="1" applyProtection="1">
      <alignment/>
      <protection locked="0"/>
    </xf>
    <xf numFmtId="0" fontId="0" fillId="33" borderId="10" xfId="0" applyNumberFormat="1" applyFont="1" applyFill="1" applyBorder="1" applyAlignment="1" applyProtection="1">
      <alignment/>
      <protection locked="0"/>
    </xf>
    <xf numFmtId="0" fontId="0" fillId="33" borderId="19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1238250</xdr:colOff>
      <xdr:row>55</xdr:row>
      <xdr:rowOff>95250</xdr:rowOff>
    </xdr:from>
    <xdr:to>
      <xdr:col>5</xdr:col>
      <xdr:colOff>161925</xdr:colOff>
      <xdr:row>58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9096375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1238250</xdr:colOff>
      <xdr:row>65</xdr:row>
      <xdr:rowOff>28575</xdr:rowOff>
    </xdr:from>
    <xdr:to>
      <xdr:col>4</xdr:col>
      <xdr:colOff>266700</xdr:colOff>
      <xdr:row>68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0506075"/>
          <a:ext cx="1524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65</xdr:row>
      <xdr:rowOff>28575</xdr:rowOff>
    </xdr:from>
    <xdr:to>
      <xdr:col>8</xdr:col>
      <xdr:colOff>752475</xdr:colOff>
      <xdr:row>68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0506075"/>
          <a:ext cx="1123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sactions%202018-19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 Count"/>
      <sheetName val="Cash"/>
      <sheetName val="Bank"/>
      <sheetName val="Summary"/>
      <sheetName val="Non - Uniform Day"/>
      <sheetName val="Discos"/>
      <sheetName val="Xmas Cards "/>
      <sheetName val="Xmas Jumper Day"/>
      <sheetName val="Xmas Fair"/>
      <sheetName val="Xmas Fair Floats"/>
      <sheetName val="Easter Egg Design Comp"/>
      <sheetName val="Smartie Challenge "/>
      <sheetName val="Nativity  Carol Serv"/>
      <sheetName val="Mothers Day"/>
      <sheetName val="Fathers Day"/>
      <sheetName val="Summer Fair "/>
      <sheetName val="Summer Fair floats"/>
    </sheetNames>
    <sheetDataSet>
      <sheetData sheetId="5">
        <row r="14">
          <cell r="C14">
            <v>825.85</v>
          </cell>
        </row>
        <row r="21">
          <cell r="C21">
            <v>554.5999999999999</v>
          </cell>
        </row>
      </sheetData>
      <sheetData sheetId="7">
        <row r="23">
          <cell r="C23">
            <v>130.2</v>
          </cell>
        </row>
      </sheetData>
      <sheetData sheetId="11">
        <row r="14">
          <cell r="C14">
            <v>2550</v>
          </cell>
        </row>
        <row r="21">
          <cell r="C21">
            <v>151</v>
          </cell>
        </row>
      </sheetData>
      <sheetData sheetId="12">
        <row r="15">
          <cell r="C15">
            <v>244</v>
          </cell>
        </row>
        <row r="26">
          <cell r="C26">
            <v>139.5</v>
          </cell>
        </row>
      </sheetData>
      <sheetData sheetId="15">
        <row r="38">
          <cell r="B38">
            <v>5051</v>
          </cell>
          <cell r="C38">
            <v>454.26</v>
          </cell>
        </row>
        <row r="47">
          <cell r="B47">
            <v>11099.970000000001</v>
          </cell>
          <cell r="C47">
            <v>2576.4200000000005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S60"/>
  <sheetViews>
    <sheetView tabSelected="1" zoomScalePageLayoutView="0" workbookViewId="0" topLeftCell="C1">
      <selection activeCell="C2" sqref="C2:I61"/>
    </sheetView>
  </sheetViews>
  <sheetFormatPr defaultColWidth="11.421875" defaultRowHeight="12.75"/>
  <cols>
    <col min="1" max="2" width="4.7109375" style="0" customWidth="1"/>
    <col min="3" max="3" width="34.140625" style="2" customWidth="1"/>
    <col min="4" max="4" width="2.8515625" style="2" customWidth="1"/>
    <col min="5" max="6" width="11.140625" style="2" customWidth="1"/>
    <col min="7" max="7" width="2.8515625" style="2" customWidth="1"/>
    <col min="8" max="9" width="11.140625" style="2" customWidth="1"/>
    <col min="10" max="10" width="2.8515625" style="2" customWidth="1"/>
    <col min="11" max="12" width="11.140625" style="2" customWidth="1"/>
    <col min="13" max="13" width="2.8515625" style="2" customWidth="1"/>
    <col min="14" max="14" width="10.28125" style="2" bestFit="1" customWidth="1"/>
    <col min="15" max="15" width="10.7109375" style="2" bestFit="1" customWidth="1"/>
    <col min="16" max="16" width="2.8515625" style="2" customWidth="1"/>
  </cols>
  <sheetData>
    <row r="2" spans="3:16" ht="12.7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3.5" thickBot="1"/>
    <row r="4" spans="3:16" ht="12.75">
      <c r="C4" s="103"/>
      <c r="D4" s="104"/>
      <c r="E4" s="105" t="s">
        <v>2</v>
      </c>
      <c r="F4" s="105" t="s">
        <v>66</v>
      </c>
      <c r="G4" s="106"/>
      <c r="P4"/>
    </row>
    <row r="5" spans="3:16" ht="12.75">
      <c r="C5" s="102"/>
      <c r="E5" s="3"/>
      <c r="F5" s="3"/>
      <c r="G5" s="98"/>
      <c r="P5"/>
    </row>
    <row r="6" spans="3:16" ht="12.75">
      <c r="C6" s="102" t="s">
        <v>73</v>
      </c>
      <c r="E6" s="3"/>
      <c r="F6" s="3"/>
      <c r="G6" s="98"/>
      <c r="P6"/>
    </row>
    <row r="7" spans="3:7" ht="12.75">
      <c r="C7" s="97" t="s">
        <v>46</v>
      </c>
      <c r="E7" s="25">
        <f>'Summary Accounts '!E76</f>
        <v>4596.74</v>
      </c>
      <c r="F7" s="40">
        <f>'Summary Accounts '!F76</f>
        <v>0.33290698261376955</v>
      </c>
      <c r="G7" s="98"/>
    </row>
    <row r="8" spans="3:7" ht="12.75">
      <c r="C8" s="95" t="s">
        <v>6</v>
      </c>
      <c r="E8" s="25">
        <f>'Summary Accounts '!E77</f>
        <v>3926.8100000000004</v>
      </c>
      <c r="F8" s="40">
        <f>'Summary Accounts '!F77</f>
        <v>0.28438903840495144</v>
      </c>
      <c r="G8" s="98"/>
    </row>
    <row r="9" spans="3:7" ht="12.75">
      <c r="C9" s="97" t="s">
        <v>49</v>
      </c>
      <c r="E9" s="25">
        <f>'Summary Accounts '!E78</f>
        <v>2399</v>
      </c>
      <c r="F9" s="40">
        <f>'Summary Accounts '!F78</f>
        <v>0.17374135828661902</v>
      </c>
      <c r="G9" s="98"/>
    </row>
    <row r="10" spans="3:7" ht="12.75">
      <c r="C10" s="97" t="s">
        <v>44</v>
      </c>
      <c r="E10" s="25">
        <f>'Summary Accounts '!E79</f>
        <v>802.6300000000001</v>
      </c>
      <c r="F10" s="40">
        <f>'Summary Accounts '!F79</f>
        <v>0.05812839783309256</v>
      </c>
      <c r="G10" s="98"/>
    </row>
    <row r="11" spans="3:7" ht="12.75">
      <c r="C11" s="97" t="s">
        <v>60</v>
      </c>
      <c r="E11" s="25">
        <f>'Summary Accounts '!E80</f>
        <v>466.45</v>
      </c>
      <c r="F11" s="40">
        <f>'Summary Accounts '!F80</f>
        <v>0.03378143250220652</v>
      </c>
      <c r="G11" s="98"/>
    </row>
    <row r="12" spans="3:7" ht="12.75">
      <c r="C12" s="97" t="s">
        <v>4</v>
      </c>
      <c r="E12" s="25">
        <f>'Summary Accounts '!E81</f>
        <v>396.53999999999996</v>
      </c>
      <c r="F12" s="40">
        <f>'Summary Accounts '!F81</f>
        <v>0.028718381915371363</v>
      </c>
      <c r="G12" s="98"/>
    </row>
    <row r="13" spans="3:7" ht="12.75">
      <c r="C13" s="97" t="s">
        <v>3</v>
      </c>
      <c r="E13" s="25">
        <f>'Summary Accounts '!E82</f>
        <v>368</v>
      </c>
      <c r="F13" s="40">
        <f>'Summary Accounts '!F82</f>
        <v>0.026651446373270448</v>
      </c>
      <c r="G13" s="98"/>
    </row>
    <row r="14" spans="3:7" ht="12.75">
      <c r="C14" s="99" t="s">
        <v>52</v>
      </c>
      <c r="E14" s="25">
        <f>'Summary Accounts '!E83</f>
        <v>851.7110000000011</v>
      </c>
      <c r="F14" s="40">
        <f>'Summary Accounts '!F83</f>
        <v>0.06168296207071896</v>
      </c>
      <c r="G14" s="98"/>
    </row>
    <row r="15" spans="3:7" ht="13.5" thickBot="1">
      <c r="C15" s="97"/>
      <c r="E15" s="42">
        <f>'Summary Accounts '!E84</f>
        <v>13807.881000000003</v>
      </c>
      <c r="F15" s="41">
        <f>SUM(F7:F14)</f>
        <v>0.9999999999999999</v>
      </c>
      <c r="G15" s="98"/>
    </row>
    <row r="16" spans="3:19" s="2" customFormat="1" ht="14.25" thickBot="1" thickTop="1">
      <c r="C16" s="100"/>
      <c r="D16" s="87"/>
      <c r="E16" s="101"/>
      <c r="F16" s="87"/>
      <c r="G16" s="89"/>
      <c r="Q16"/>
      <c r="R16"/>
      <c r="S16"/>
    </row>
    <row r="19" ht="12.75">
      <c r="C19" s="1" t="s">
        <v>86</v>
      </c>
    </row>
    <row r="20" ht="12.75">
      <c r="C20" s="8"/>
    </row>
    <row r="21" ht="13.5" thickBot="1">
      <c r="C21" s="8"/>
    </row>
    <row r="22" spans="3:7" ht="12.75">
      <c r="C22" s="115"/>
      <c r="D22" s="116"/>
      <c r="E22" s="65">
        <v>2018</v>
      </c>
      <c r="F22" s="65">
        <v>2017</v>
      </c>
      <c r="G22" s="117"/>
    </row>
    <row r="23" spans="3:7" ht="12.75">
      <c r="C23" s="118"/>
      <c r="D23" s="119"/>
      <c r="E23" s="46" t="s">
        <v>2</v>
      </c>
      <c r="F23" s="46" t="s">
        <v>2</v>
      </c>
      <c r="G23" s="120"/>
    </row>
    <row r="24" spans="3:16" s="121" customFormat="1" ht="12.75">
      <c r="C24" s="95"/>
      <c r="D24" s="2"/>
      <c r="E24" s="3"/>
      <c r="F24" s="3"/>
      <c r="G24" s="98"/>
      <c r="H24" s="2"/>
      <c r="I24" s="2"/>
      <c r="J24" s="2"/>
      <c r="K24" s="2"/>
      <c r="L24" s="2"/>
      <c r="M24" s="2"/>
      <c r="N24" s="2"/>
      <c r="O24" s="2"/>
      <c r="P24" s="2"/>
    </row>
    <row r="25" spans="3:7" ht="12.75">
      <c r="C25" s="102" t="s">
        <v>74</v>
      </c>
      <c r="E25" s="8"/>
      <c r="F25" s="8"/>
      <c r="G25" s="98"/>
    </row>
    <row r="26" spans="3:7" ht="12.75">
      <c r="C26" s="102"/>
      <c r="E26" s="8"/>
      <c r="F26" s="8"/>
      <c r="G26" s="98"/>
    </row>
    <row r="27" spans="3:7" ht="12.75">
      <c r="C27" s="99" t="s">
        <v>75</v>
      </c>
      <c r="E27" s="107">
        <v>14681.81</v>
      </c>
      <c r="F27" s="107">
        <v>13855.44</v>
      </c>
      <c r="G27" s="98"/>
    </row>
    <row r="28" spans="3:7" ht="12.75">
      <c r="C28" s="99" t="s">
        <v>76</v>
      </c>
      <c r="E28" s="107">
        <v>36.8</v>
      </c>
      <c r="F28" s="107">
        <v>21.09</v>
      </c>
      <c r="G28" s="98"/>
    </row>
    <row r="29" spans="3:7" ht="12.75">
      <c r="C29" s="99" t="s">
        <v>77</v>
      </c>
      <c r="E29" s="107">
        <v>765</v>
      </c>
      <c r="F29" s="107">
        <v>0</v>
      </c>
      <c r="G29" s="98"/>
    </row>
    <row r="30" spans="3:7" ht="12.75">
      <c r="C30" s="99" t="s">
        <v>78</v>
      </c>
      <c r="E30" s="107">
        <v>1000</v>
      </c>
      <c r="F30" s="107">
        <v>0</v>
      </c>
      <c r="G30" s="98"/>
    </row>
    <row r="31" spans="3:7" ht="12.75">
      <c r="C31" s="99"/>
      <c r="E31" s="107"/>
      <c r="F31" s="107"/>
      <c r="G31" s="98"/>
    </row>
    <row r="32" spans="3:7" ht="12.75">
      <c r="C32" s="99"/>
      <c r="E32" s="108">
        <v>16483.61</v>
      </c>
      <c r="F32" s="108">
        <v>13876.53</v>
      </c>
      <c r="G32" s="98"/>
    </row>
    <row r="33" spans="3:7" ht="12.75">
      <c r="C33" s="99"/>
      <c r="E33" s="107"/>
      <c r="F33" s="107"/>
      <c r="G33" s="98"/>
    </row>
    <row r="34" spans="3:7" ht="12.75">
      <c r="C34" s="102" t="s">
        <v>79</v>
      </c>
      <c r="E34" s="107"/>
      <c r="F34" s="107"/>
      <c r="G34" s="98"/>
    </row>
    <row r="35" spans="3:7" ht="12.75">
      <c r="C35" s="99"/>
      <c r="E35" s="107"/>
      <c r="F35" s="107"/>
      <c r="G35" s="98"/>
    </row>
    <row r="36" spans="3:7" ht="12.75">
      <c r="C36" s="99" t="s">
        <v>80</v>
      </c>
      <c r="E36" s="107">
        <v>1512.38</v>
      </c>
      <c r="F36" s="107">
        <v>108.66</v>
      </c>
      <c r="G36" s="98"/>
    </row>
    <row r="37" spans="3:7" ht="12.75">
      <c r="C37" s="99"/>
      <c r="E37" s="107"/>
      <c r="F37" s="107"/>
      <c r="G37" s="98"/>
    </row>
    <row r="38" spans="3:16" s="16" customFormat="1" ht="13.5" thickBot="1">
      <c r="C38" s="113" t="s">
        <v>83</v>
      </c>
      <c r="D38" s="24"/>
      <c r="E38" s="109">
        <v>14971.23</v>
      </c>
      <c r="F38" s="109">
        <v>13767.87</v>
      </c>
      <c r="G38" s="114"/>
      <c r="H38" s="24"/>
      <c r="I38" s="24"/>
      <c r="J38" s="24"/>
      <c r="K38" s="24"/>
      <c r="L38" s="24"/>
      <c r="M38" s="24"/>
      <c r="N38" s="24"/>
      <c r="O38" s="24"/>
      <c r="P38" s="24"/>
    </row>
    <row r="39" spans="3:7" ht="13.5" thickTop="1">
      <c r="C39" s="99"/>
      <c r="E39" s="110"/>
      <c r="F39" s="111"/>
      <c r="G39" s="98"/>
    </row>
    <row r="40" spans="3:7" ht="12.75">
      <c r="C40" s="102" t="s">
        <v>82</v>
      </c>
      <c r="E40" s="112"/>
      <c r="F40" s="107"/>
      <c r="G40" s="98"/>
    </row>
    <row r="41" spans="3:7" ht="12.75">
      <c r="C41" s="99"/>
      <c r="E41" s="112"/>
      <c r="F41" s="112"/>
      <c r="G41" s="98"/>
    </row>
    <row r="42" spans="3:7" ht="12.75">
      <c r="C42" s="99" t="s">
        <v>85</v>
      </c>
      <c r="E42" s="107">
        <f>F46</f>
        <v>13768.15</v>
      </c>
      <c r="F42" s="107">
        <v>14092</v>
      </c>
      <c r="G42" s="98"/>
    </row>
    <row r="43" spans="3:7" ht="12.75">
      <c r="C43" s="99"/>
      <c r="E43" s="107"/>
      <c r="F43" s="107"/>
      <c r="G43" s="98"/>
    </row>
    <row r="44" spans="3:7" ht="12.75">
      <c r="C44" s="99" t="s">
        <v>81</v>
      </c>
      <c r="E44" s="107">
        <v>1203.3599999999951</v>
      </c>
      <c r="F44" s="36">
        <v>-323.85</v>
      </c>
      <c r="G44" s="98"/>
    </row>
    <row r="45" spans="3:7" ht="12.75">
      <c r="C45" s="99"/>
      <c r="E45" s="107"/>
      <c r="F45" s="107"/>
      <c r="G45" s="98"/>
    </row>
    <row r="46" spans="3:7" ht="13.5" thickBot="1">
      <c r="C46" s="113" t="s">
        <v>84</v>
      </c>
      <c r="E46" s="109">
        <f>SUM(E42:E44)-1</f>
        <v>14970.509999999995</v>
      </c>
      <c r="F46" s="109">
        <f>SUM(F42:F44)</f>
        <v>13768.15</v>
      </c>
      <c r="G46" s="98"/>
    </row>
    <row r="47" spans="3:7" ht="14.25" thickBot="1" thickTop="1">
      <c r="C47" s="96"/>
      <c r="D47" s="87"/>
      <c r="E47" s="87"/>
      <c r="F47" s="87"/>
      <c r="G47" s="89"/>
    </row>
    <row r="49" ht="12.75">
      <c r="C49" s="1" t="s">
        <v>87</v>
      </c>
    </row>
    <row r="50" ht="12.75">
      <c r="C50" s="122"/>
    </row>
    <row r="51" ht="12.75">
      <c r="C51" s="8" t="s">
        <v>88</v>
      </c>
    </row>
    <row r="52" ht="12.75">
      <c r="C52" s="8" t="s">
        <v>89</v>
      </c>
    </row>
    <row r="53" ht="12.75">
      <c r="C53" s="8" t="s">
        <v>90</v>
      </c>
    </row>
    <row r="54" ht="12.75">
      <c r="C54" s="122"/>
    </row>
    <row r="55" ht="12.75">
      <c r="C55" s="122"/>
    </row>
    <row r="56" ht="12.75">
      <c r="C56" s="16" t="s">
        <v>64</v>
      </c>
    </row>
    <row r="57" ht="12.75">
      <c r="C57" s="122"/>
    </row>
    <row r="58" ht="12.75">
      <c r="C58" s="8" t="s">
        <v>29</v>
      </c>
    </row>
    <row r="59" ht="12.75">
      <c r="C59" s="122"/>
    </row>
    <row r="60" ht="12.75">
      <c r="C60" s="122" t="s">
        <v>91</v>
      </c>
    </row>
  </sheetData>
  <sheetProtection/>
  <printOptions horizontalCentered="1"/>
  <pageMargins left="0.35433070866141736" right="0.15748031496062992" top="0.3937007874015748" bottom="0.3937007874015748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S85"/>
  <sheetViews>
    <sheetView zoomScalePageLayoutView="0" workbookViewId="0" topLeftCell="A46">
      <selection activeCell="C2" sqref="C2:J72"/>
    </sheetView>
  </sheetViews>
  <sheetFormatPr defaultColWidth="11.421875" defaultRowHeight="12.75"/>
  <cols>
    <col min="1" max="2" width="4.7109375" style="0" customWidth="1"/>
    <col min="3" max="3" width="34.57421875" style="2" customWidth="1"/>
    <col min="4" max="4" width="2.8515625" style="2" customWidth="1"/>
    <col min="5" max="5" width="11.140625" style="2" customWidth="1"/>
    <col min="6" max="6" width="12.7109375" style="2" customWidth="1"/>
    <col min="7" max="7" width="2.8515625" style="2" customWidth="1"/>
    <col min="8" max="8" width="11.140625" style="2" customWidth="1"/>
    <col min="9" max="9" width="12.28125" style="2" customWidth="1"/>
    <col min="10" max="10" width="2.8515625" style="2" customWidth="1"/>
    <col min="11" max="12" width="11.140625" style="2" customWidth="1"/>
    <col min="13" max="13" width="2.8515625" style="2" customWidth="1"/>
    <col min="14" max="14" width="10.28125" style="2" bestFit="1" customWidth="1"/>
    <col min="15" max="15" width="10.7109375" style="2" bestFit="1" customWidth="1"/>
    <col min="16" max="16" width="2.8515625" style="2" customWidth="1"/>
  </cols>
  <sheetData>
    <row r="2" spans="3:16" ht="12.7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spans="3:16" ht="12.75">
      <c r="C4" s="1" t="s">
        <v>62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ht="10.5" customHeight="1"/>
    <row r="6" ht="10.5" customHeight="1" thickBot="1"/>
    <row r="7" spans="3:16" ht="12.75">
      <c r="C7" s="64"/>
      <c r="D7" s="65"/>
      <c r="E7" s="66">
        <v>2019</v>
      </c>
      <c r="F7" s="66"/>
      <c r="G7" s="67"/>
      <c r="H7" s="66">
        <v>2018</v>
      </c>
      <c r="I7" s="66"/>
      <c r="J7" s="68"/>
      <c r="K7" s="19"/>
      <c r="L7" s="19"/>
      <c r="M7" s="3"/>
      <c r="P7" s="3"/>
    </row>
    <row r="8" spans="3:19" ht="12.75">
      <c r="C8" s="69"/>
      <c r="D8" s="46"/>
      <c r="E8" s="46" t="s">
        <v>2</v>
      </c>
      <c r="F8" s="46" t="s">
        <v>2</v>
      </c>
      <c r="G8" s="54"/>
      <c r="H8" s="46" t="s">
        <v>2</v>
      </c>
      <c r="I8" s="46" t="s">
        <v>2</v>
      </c>
      <c r="J8" s="70"/>
      <c r="K8" s="3"/>
      <c r="L8" s="3"/>
      <c r="M8" s="3"/>
      <c r="P8" s="3"/>
      <c r="Q8" s="2"/>
      <c r="R8" s="4"/>
      <c r="S8" s="4"/>
    </row>
    <row r="9" spans="3:19" ht="12.75">
      <c r="C9" s="71" t="s">
        <v>1</v>
      </c>
      <c r="D9" s="3"/>
      <c r="E9" s="3"/>
      <c r="F9" s="3"/>
      <c r="G9" s="55"/>
      <c r="H9" s="3"/>
      <c r="I9" s="3"/>
      <c r="J9" s="72"/>
      <c r="K9" s="3"/>
      <c r="L9" s="3"/>
      <c r="M9" s="3"/>
      <c r="P9" s="3"/>
      <c r="Q9" s="2"/>
      <c r="R9" s="4"/>
      <c r="S9" s="4"/>
    </row>
    <row r="10" spans="3:19" ht="12.75">
      <c r="C10" s="73"/>
      <c r="D10" s="22"/>
      <c r="E10" s="43"/>
      <c r="F10" s="43"/>
      <c r="G10" s="56"/>
      <c r="H10" s="43"/>
      <c r="I10" s="43"/>
      <c r="J10" s="74"/>
      <c r="K10" s="22"/>
      <c r="L10" s="22"/>
      <c r="M10" s="22"/>
      <c r="P10"/>
      <c r="Q10" s="2"/>
      <c r="R10" s="4"/>
      <c r="S10" s="4"/>
    </row>
    <row r="11" spans="3:18" ht="12" customHeight="1">
      <c r="C11" s="75" t="s">
        <v>34</v>
      </c>
      <c r="D11" s="9"/>
      <c r="E11" s="25">
        <f>'[1]Summer Fair '!$B$38</f>
        <v>5051</v>
      </c>
      <c r="F11" s="25"/>
      <c r="G11" s="57"/>
      <c r="H11" s="25">
        <v>2849.75</v>
      </c>
      <c r="I11" s="25"/>
      <c r="J11" s="76"/>
      <c r="K11" s="20"/>
      <c r="L11" s="20"/>
      <c r="M11" s="9"/>
      <c r="P11" s="4"/>
      <c r="Q11" s="5"/>
      <c r="R11" s="5"/>
    </row>
    <row r="12" spans="3:18" ht="12.75">
      <c r="C12" s="73" t="s">
        <v>6</v>
      </c>
      <c r="D12" s="9"/>
      <c r="E12" s="25">
        <f>'[1]Summer Fair '!$B$47-'[1]Summer Fair '!$B$38</f>
        <v>6048.970000000001</v>
      </c>
      <c r="F12" s="25"/>
      <c r="G12" s="57"/>
      <c r="H12" s="25">
        <v>5696.91</v>
      </c>
      <c r="I12" s="25"/>
      <c r="J12" s="76"/>
      <c r="K12" s="20"/>
      <c r="L12" s="20"/>
      <c r="M12" s="9"/>
      <c r="P12" s="4"/>
      <c r="Q12" s="5"/>
      <c r="R12" s="5"/>
    </row>
    <row r="13" spans="3:16" ht="12.75">
      <c r="C13" s="77" t="s">
        <v>48</v>
      </c>
      <c r="D13" s="9"/>
      <c r="E13" s="25">
        <f>'[1]Smartie Challenge '!$C$14</f>
        <v>2550</v>
      </c>
      <c r="F13" s="25"/>
      <c r="G13" s="57"/>
      <c r="H13" s="32" t="s">
        <v>65</v>
      </c>
      <c r="I13" s="25"/>
      <c r="J13" s="76"/>
      <c r="K13" s="20"/>
      <c r="L13" s="20"/>
      <c r="M13" s="9"/>
      <c r="P13" s="4"/>
    </row>
    <row r="14" spans="3:18" ht="12.75">
      <c r="C14" s="75" t="s">
        <v>42</v>
      </c>
      <c r="D14" s="9"/>
      <c r="E14" s="26">
        <f>2989.15</f>
        <v>2989.15</v>
      </c>
      <c r="F14" s="25"/>
      <c r="G14" s="57"/>
      <c r="H14" s="25">
        <v>3218.82</v>
      </c>
      <c r="I14" s="25"/>
      <c r="J14" s="76"/>
      <c r="K14" s="20"/>
      <c r="L14" s="20"/>
      <c r="M14" s="9"/>
      <c r="P14" s="4"/>
      <c r="Q14" s="5"/>
      <c r="R14" s="5"/>
    </row>
    <row r="15" spans="3:18" ht="12.75">
      <c r="C15" s="78" t="s">
        <v>60</v>
      </c>
      <c r="D15" s="9"/>
      <c r="E15" s="26">
        <f>Detail!C24</f>
        <v>466.45</v>
      </c>
      <c r="F15" s="25"/>
      <c r="G15" s="57"/>
      <c r="H15" s="32" t="s">
        <v>65</v>
      </c>
      <c r="I15" s="25"/>
      <c r="J15" s="76"/>
      <c r="K15" s="20"/>
      <c r="L15" s="20"/>
      <c r="M15" s="9"/>
      <c r="P15" s="4"/>
      <c r="Q15" s="5"/>
      <c r="R15" s="5"/>
    </row>
    <row r="16" spans="3:18" ht="12" customHeight="1">
      <c r="C16" s="73" t="s">
        <v>4</v>
      </c>
      <c r="D16" s="9"/>
      <c r="E16" s="25">
        <v>1189.6</v>
      </c>
      <c r="F16" s="25"/>
      <c r="G16" s="57"/>
      <c r="H16" s="25">
        <v>667</v>
      </c>
      <c r="I16" s="25"/>
      <c r="J16" s="76"/>
      <c r="K16" s="20"/>
      <c r="L16" s="20"/>
      <c r="M16" s="9"/>
      <c r="P16" s="4"/>
      <c r="Q16" s="5"/>
      <c r="R16" s="5"/>
    </row>
    <row r="17" spans="3:16" ht="12.75">
      <c r="C17" s="73" t="s">
        <v>3</v>
      </c>
      <c r="D17" s="9"/>
      <c r="E17" s="25">
        <v>1104</v>
      </c>
      <c r="F17" s="25"/>
      <c r="G17" s="57"/>
      <c r="H17" s="25">
        <v>876.35</v>
      </c>
      <c r="I17" s="25"/>
      <c r="J17" s="76"/>
      <c r="K17" s="20"/>
      <c r="L17" s="20"/>
      <c r="M17" s="9"/>
      <c r="P17" s="4"/>
    </row>
    <row r="18" spans="3:19" ht="12.75">
      <c r="C18" s="75" t="s">
        <v>33</v>
      </c>
      <c r="D18" s="22"/>
      <c r="E18" s="44">
        <v>0</v>
      </c>
      <c r="F18" s="44"/>
      <c r="G18" s="58"/>
      <c r="H18" s="44">
        <v>882.27</v>
      </c>
      <c r="I18" s="44"/>
      <c r="J18" s="79"/>
      <c r="K18" s="20"/>
      <c r="L18" s="23"/>
      <c r="M18" s="22"/>
      <c r="P18"/>
      <c r="Q18" s="2"/>
      <c r="R18" s="4"/>
      <c r="S18" s="4"/>
    </row>
    <row r="19" spans="3:18" ht="12.75">
      <c r="C19" s="78" t="s">
        <v>63</v>
      </c>
      <c r="D19" s="9"/>
      <c r="E19" s="25">
        <f>'[1]Nativity  Carol Serv'!$C$15</f>
        <v>244</v>
      </c>
      <c r="F19" s="25"/>
      <c r="G19" s="57"/>
      <c r="H19" s="25">
        <f>2974.93+320.36</f>
        <v>3295.29</v>
      </c>
      <c r="I19" s="25"/>
      <c r="J19" s="76"/>
      <c r="K19" s="20"/>
      <c r="L19" s="20"/>
      <c r="M19" s="9"/>
      <c r="P19" s="4"/>
      <c r="Q19" s="5"/>
      <c r="R19" s="5"/>
    </row>
    <row r="20" spans="3:19" ht="12.75">
      <c r="C20" s="78" t="s">
        <v>52</v>
      </c>
      <c r="D20" s="22"/>
      <c r="E20" s="27">
        <f>SUM(Detail!C11,Detail!C19,Detail!C20,Detail!C22,Detail!C23)</f>
        <v>1621.271</v>
      </c>
      <c r="F20" s="44"/>
      <c r="G20" s="58"/>
      <c r="H20" s="27">
        <v>2259.87</v>
      </c>
      <c r="I20" s="44"/>
      <c r="J20" s="79"/>
      <c r="K20" s="20"/>
      <c r="L20" s="23"/>
      <c r="M20" s="22"/>
      <c r="P20"/>
      <c r="Q20" s="2"/>
      <c r="R20" s="4"/>
      <c r="S20" s="4"/>
    </row>
    <row r="21" spans="3:16" s="16" customFormat="1" ht="12.75">
      <c r="C21" s="80" t="s">
        <v>67</v>
      </c>
      <c r="D21" s="33"/>
      <c r="E21" s="47"/>
      <c r="F21" s="47">
        <f>SUM(E11:E20)</f>
        <v>21264.441000000003</v>
      </c>
      <c r="G21" s="59"/>
      <c r="H21" s="47"/>
      <c r="I21" s="47">
        <f>SUM(H11:H20)</f>
        <v>19746.26</v>
      </c>
      <c r="J21" s="81"/>
      <c r="K21" s="48"/>
      <c r="L21" s="48"/>
      <c r="M21" s="33"/>
      <c r="N21" s="24"/>
      <c r="O21" s="24"/>
      <c r="P21" s="49"/>
    </row>
    <row r="22" spans="3:16" s="16" customFormat="1" ht="12.75">
      <c r="C22" s="80"/>
      <c r="D22" s="33"/>
      <c r="E22" s="47"/>
      <c r="F22" s="47"/>
      <c r="G22" s="59"/>
      <c r="H22" s="47"/>
      <c r="I22" s="47"/>
      <c r="J22" s="81"/>
      <c r="K22" s="48"/>
      <c r="L22" s="48"/>
      <c r="M22" s="33"/>
      <c r="N22" s="24"/>
      <c r="O22" s="24"/>
      <c r="P22" s="49"/>
    </row>
    <row r="23" spans="3:16" ht="12.75">
      <c r="C23" s="71" t="s">
        <v>7</v>
      </c>
      <c r="D23" s="9"/>
      <c r="E23" s="28"/>
      <c r="F23" s="28"/>
      <c r="G23" s="60"/>
      <c r="H23" s="28"/>
      <c r="I23" s="28"/>
      <c r="J23" s="82"/>
      <c r="K23" s="9"/>
      <c r="L23" s="9"/>
      <c r="M23" s="9"/>
      <c r="P23" s="4"/>
    </row>
    <row r="24" spans="3:16" ht="12.75">
      <c r="C24" s="73"/>
      <c r="D24" s="9"/>
      <c r="E24" s="28"/>
      <c r="F24" s="28"/>
      <c r="G24" s="60"/>
      <c r="H24" s="28"/>
      <c r="I24" s="28"/>
      <c r="J24" s="82"/>
      <c r="K24" s="9"/>
      <c r="L24" s="9"/>
      <c r="M24" s="9"/>
      <c r="P24" s="4"/>
    </row>
    <row r="25" spans="3:16" ht="12.75">
      <c r="C25" s="75" t="s">
        <v>40</v>
      </c>
      <c r="D25" s="9"/>
      <c r="E25" s="29">
        <f>-'[1]Summer Fair '!$C$38</f>
        <v>-454.26</v>
      </c>
      <c r="F25" s="29"/>
      <c r="G25" s="61"/>
      <c r="H25" s="29">
        <v>-85</v>
      </c>
      <c r="I25" s="29"/>
      <c r="J25" s="83"/>
      <c r="K25" s="21"/>
      <c r="L25" s="21"/>
      <c r="M25" s="9"/>
      <c r="P25" s="4"/>
    </row>
    <row r="26" spans="3:16" ht="12.75">
      <c r="C26" s="73" t="s">
        <v>6</v>
      </c>
      <c r="D26" s="9"/>
      <c r="E26" s="29">
        <f>-'[1]Summer Fair '!$C$47+'[1]Summer Fair '!$C$38</f>
        <v>-2122.1600000000008</v>
      </c>
      <c r="F26" s="29"/>
      <c r="G26" s="61"/>
      <c r="H26" s="29">
        <v>-2222.86</v>
      </c>
      <c r="I26" s="29"/>
      <c r="J26" s="83"/>
      <c r="K26" s="21"/>
      <c r="L26" s="21"/>
      <c r="M26" s="9"/>
      <c r="P26" s="4"/>
    </row>
    <row r="27" spans="3:17" ht="12.75">
      <c r="C27" s="77" t="s">
        <v>48</v>
      </c>
      <c r="D27" s="9"/>
      <c r="E27" s="29">
        <f>-'[1]Smartie Challenge '!$C$21</f>
        <v>-151</v>
      </c>
      <c r="F27" s="29"/>
      <c r="G27" s="61"/>
      <c r="H27" s="36" t="s">
        <v>65</v>
      </c>
      <c r="I27" s="29"/>
      <c r="J27" s="83"/>
      <c r="K27" s="21"/>
      <c r="L27" s="21"/>
      <c r="M27" s="9"/>
      <c r="P27" s="4"/>
      <c r="Q27" s="5"/>
    </row>
    <row r="28" spans="3:18" ht="12.75">
      <c r="C28" s="75" t="s">
        <v>42</v>
      </c>
      <c r="D28" s="9"/>
      <c r="E28" s="29">
        <v>-2186.52</v>
      </c>
      <c r="F28" s="29"/>
      <c r="G28" s="61"/>
      <c r="H28" s="29">
        <v>-2347.4</v>
      </c>
      <c r="I28" s="29"/>
      <c r="J28" s="83"/>
      <c r="K28" s="21"/>
      <c r="L28" s="21"/>
      <c r="M28" s="9"/>
      <c r="P28" s="4"/>
      <c r="R28" s="5"/>
    </row>
    <row r="29" spans="3:16" ht="12.75">
      <c r="C29" s="73" t="s">
        <v>4</v>
      </c>
      <c r="D29" s="9"/>
      <c r="E29" s="29">
        <f>-396.53*2</f>
        <v>-793.06</v>
      </c>
      <c r="F29" s="29"/>
      <c r="G29" s="61"/>
      <c r="H29" s="29">
        <v>-616.94</v>
      </c>
      <c r="I29" s="29"/>
      <c r="J29" s="83"/>
      <c r="K29" s="21"/>
      <c r="L29" s="21"/>
      <c r="M29" s="9"/>
      <c r="P29" s="4"/>
    </row>
    <row r="30" spans="3:16" ht="12.75">
      <c r="C30" s="73" t="s">
        <v>3</v>
      </c>
      <c r="D30" s="9"/>
      <c r="E30" s="29">
        <f>-368*2</f>
        <v>-736</v>
      </c>
      <c r="F30" s="29"/>
      <c r="G30" s="61"/>
      <c r="H30" s="29">
        <v>-216.58</v>
      </c>
      <c r="I30" s="29"/>
      <c r="J30" s="83"/>
      <c r="K30" s="21"/>
      <c r="L30" s="21"/>
      <c r="M30" s="9"/>
      <c r="P30" s="4"/>
    </row>
    <row r="31" spans="3:18" ht="12.75">
      <c r="C31" s="78" t="s">
        <v>63</v>
      </c>
      <c r="D31" s="9"/>
      <c r="E31" s="29">
        <f>-'[1]Nativity  Carol Serv'!$C$26</f>
        <v>-139.5</v>
      </c>
      <c r="F31" s="29"/>
      <c r="G31" s="61"/>
      <c r="H31" s="29">
        <f>-1401.39-144.11</f>
        <v>-1545.5</v>
      </c>
      <c r="I31" s="29"/>
      <c r="J31" s="83"/>
      <c r="K31" s="21"/>
      <c r="L31" s="21"/>
      <c r="M31" s="9"/>
      <c r="P31" s="4"/>
      <c r="R31" s="5"/>
    </row>
    <row r="32" spans="3:18" ht="12.75">
      <c r="C32" s="78" t="s">
        <v>52</v>
      </c>
      <c r="D32" s="9"/>
      <c r="E32" s="30">
        <f>SUM(Detail!C31,Detail!C32,Detail!C36,Detail!C38,Detail!C39,Detail!C41)</f>
        <v>-874.06</v>
      </c>
      <c r="F32" s="29"/>
      <c r="G32" s="61"/>
      <c r="H32" s="30">
        <v>-481.73</v>
      </c>
      <c r="I32" s="29"/>
      <c r="J32" s="83"/>
      <c r="K32" s="21"/>
      <c r="L32" s="21"/>
      <c r="M32" s="9"/>
      <c r="P32" s="4"/>
      <c r="R32" s="5"/>
    </row>
    <row r="33" spans="3:16" s="16" customFormat="1" ht="12.75">
      <c r="C33" s="80" t="s">
        <v>68</v>
      </c>
      <c r="D33" s="33"/>
      <c r="E33" s="50"/>
      <c r="F33" s="50">
        <f>SUM(E25:E32)</f>
        <v>-7456.5599999999995</v>
      </c>
      <c r="G33" s="62"/>
      <c r="H33" s="50"/>
      <c r="I33" s="50">
        <f>SUM(H25:H32)</f>
        <v>-7516.01</v>
      </c>
      <c r="J33" s="84"/>
      <c r="K33" s="51"/>
      <c r="L33" s="51"/>
      <c r="M33" s="33"/>
      <c r="N33" s="24"/>
      <c r="O33" s="24"/>
      <c r="P33" s="35"/>
    </row>
    <row r="34" spans="3:16" ht="12.75">
      <c r="C34" s="73"/>
      <c r="D34" s="9"/>
      <c r="E34" s="29"/>
      <c r="F34" s="29"/>
      <c r="G34" s="61"/>
      <c r="H34" s="29"/>
      <c r="I34" s="29"/>
      <c r="J34" s="83"/>
      <c r="K34" s="21"/>
      <c r="L34" s="21"/>
      <c r="M34" s="9"/>
      <c r="P34" s="4"/>
    </row>
    <row r="35" spans="3:16" ht="12.75">
      <c r="C35" s="71" t="s">
        <v>8</v>
      </c>
      <c r="D35" s="9"/>
      <c r="E35" s="29"/>
      <c r="F35" s="29"/>
      <c r="G35" s="61"/>
      <c r="H35" s="29"/>
      <c r="I35" s="29"/>
      <c r="J35" s="83"/>
      <c r="K35" s="21"/>
      <c r="L35" s="21"/>
      <c r="M35" s="9"/>
      <c r="P35" s="4"/>
    </row>
    <row r="36" spans="3:16" ht="12.75">
      <c r="C36" s="73"/>
      <c r="D36" s="9"/>
      <c r="E36" s="29"/>
      <c r="F36" s="29"/>
      <c r="G36" s="61"/>
      <c r="H36" s="29"/>
      <c r="I36" s="29"/>
      <c r="J36" s="83"/>
      <c r="K36" s="21"/>
      <c r="L36" s="21"/>
      <c r="M36" s="9"/>
      <c r="P36" s="4"/>
    </row>
    <row r="37" spans="3:17" ht="12.75">
      <c r="C37" s="73" t="s">
        <v>9</v>
      </c>
      <c r="D37" s="9"/>
      <c r="E37" s="29">
        <v>-122</v>
      </c>
      <c r="F37" s="29"/>
      <c r="G37" s="61"/>
      <c r="H37" s="29">
        <v>-122</v>
      </c>
      <c r="I37" s="29"/>
      <c r="J37" s="83"/>
      <c r="K37" s="21"/>
      <c r="L37" s="21"/>
      <c r="M37" s="9"/>
      <c r="O37" s="12"/>
      <c r="P37" s="13"/>
      <c r="Q37" s="13"/>
    </row>
    <row r="38" spans="3:17" ht="12.75">
      <c r="C38" s="77" t="s">
        <v>23</v>
      </c>
      <c r="D38" s="9"/>
      <c r="E38" s="29">
        <f>-12*5</f>
        <v>-60</v>
      </c>
      <c r="F38" s="29"/>
      <c r="G38" s="61"/>
      <c r="H38" s="29">
        <v>-60</v>
      </c>
      <c r="I38" s="29"/>
      <c r="J38" s="83"/>
      <c r="K38" s="21"/>
      <c r="L38" s="21"/>
      <c r="M38" s="9"/>
      <c r="O38" s="12"/>
      <c r="P38" s="13"/>
      <c r="Q38" s="13"/>
    </row>
    <row r="39" spans="3:17" ht="12.75">
      <c r="C39" s="77" t="s">
        <v>59</v>
      </c>
      <c r="D39" s="9"/>
      <c r="E39" s="29">
        <f>-(106.93+644)</f>
        <v>-750.9300000000001</v>
      </c>
      <c r="F39" s="29"/>
      <c r="G39" s="61"/>
      <c r="H39" s="36" t="s">
        <v>65</v>
      </c>
      <c r="I39" s="29"/>
      <c r="J39" s="83"/>
      <c r="K39" s="21"/>
      <c r="L39" s="21"/>
      <c r="M39" s="9"/>
      <c r="O39" s="12"/>
      <c r="P39" s="13"/>
      <c r="Q39" s="13"/>
    </row>
    <row r="40" spans="3:17" ht="12.75">
      <c r="C40" s="77" t="s">
        <v>61</v>
      </c>
      <c r="D40" s="9"/>
      <c r="E40" s="29">
        <f>-379.92</f>
        <v>-379.92</v>
      </c>
      <c r="F40" s="29"/>
      <c r="G40" s="61"/>
      <c r="H40" s="36" t="s">
        <v>65</v>
      </c>
      <c r="I40" s="29"/>
      <c r="J40" s="83"/>
      <c r="K40" s="21"/>
      <c r="L40" s="21"/>
      <c r="M40" s="9"/>
      <c r="O40" s="12"/>
      <c r="P40" s="13"/>
      <c r="Q40" s="13"/>
    </row>
    <row r="41" spans="3:17" ht="12.75">
      <c r="C41" s="75" t="s">
        <v>52</v>
      </c>
      <c r="D41" s="9"/>
      <c r="E41" s="29">
        <f>-15-150</f>
        <v>-165</v>
      </c>
      <c r="F41" s="29"/>
      <c r="G41" s="61"/>
      <c r="H41" s="36" t="s">
        <v>65</v>
      </c>
      <c r="I41" s="29"/>
      <c r="J41" s="83"/>
      <c r="K41" s="21"/>
      <c r="L41" s="21"/>
      <c r="M41" s="9"/>
      <c r="O41" s="12"/>
      <c r="P41" s="13"/>
      <c r="Q41" s="13"/>
    </row>
    <row r="42" spans="3:17" ht="12.75">
      <c r="C42" s="75" t="s">
        <v>56</v>
      </c>
      <c r="D42" s="9"/>
      <c r="E42" s="30">
        <f>-21-21</f>
        <v>-42</v>
      </c>
      <c r="F42" s="29"/>
      <c r="G42" s="61"/>
      <c r="H42" s="30">
        <v>-20</v>
      </c>
      <c r="I42" s="29"/>
      <c r="J42" s="83"/>
      <c r="K42" s="21"/>
      <c r="L42" s="21"/>
      <c r="M42" s="9"/>
      <c r="O42" s="12"/>
      <c r="P42" s="13"/>
      <c r="Q42" s="13"/>
    </row>
    <row r="43" spans="3:17" s="16" customFormat="1" ht="12.75">
      <c r="C43" s="80" t="s">
        <v>69</v>
      </c>
      <c r="D43" s="33"/>
      <c r="E43" s="50"/>
      <c r="F43" s="50">
        <f>SUM(E37:E42)</f>
        <v>-1519.8500000000001</v>
      </c>
      <c r="G43" s="62"/>
      <c r="H43" s="50"/>
      <c r="I43" s="50">
        <f>SUM(H37:H42)</f>
        <v>-202</v>
      </c>
      <c r="J43" s="84"/>
      <c r="K43" s="51"/>
      <c r="L43" s="51"/>
      <c r="M43" s="33"/>
      <c r="N43" s="24"/>
      <c r="O43" s="52"/>
      <c r="P43" s="53"/>
      <c r="Q43" s="53"/>
    </row>
    <row r="44" spans="3:17" ht="12.75">
      <c r="C44" s="73"/>
      <c r="D44" s="9"/>
      <c r="E44" s="28"/>
      <c r="F44" s="31"/>
      <c r="G44" s="60"/>
      <c r="H44" s="28"/>
      <c r="I44" s="31"/>
      <c r="J44" s="82"/>
      <c r="K44" s="9"/>
      <c r="L44" s="9"/>
      <c r="M44" s="9"/>
      <c r="O44" s="12"/>
      <c r="P44" s="13"/>
      <c r="Q44" s="13"/>
    </row>
    <row r="45" spans="3:17" s="16" customFormat="1" ht="12.75">
      <c r="C45" s="80" t="s">
        <v>11</v>
      </c>
      <c r="D45" s="33"/>
      <c r="E45" s="34"/>
      <c r="F45" s="47">
        <f>F43+F33+F21</f>
        <v>12288.031000000003</v>
      </c>
      <c r="G45" s="59"/>
      <c r="H45" s="47"/>
      <c r="I45" s="47">
        <f>I43+I33+I21</f>
        <v>12028.249999999998</v>
      </c>
      <c r="J45" s="81"/>
      <c r="K45" s="48"/>
      <c r="L45" s="48"/>
      <c r="M45" s="33"/>
      <c r="N45" s="24"/>
      <c r="O45" s="52"/>
      <c r="P45" s="53"/>
      <c r="Q45" s="53"/>
    </row>
    <row r="46" spans="3:17" ht="12.75">
      <c r="C46" s="73"/>
      <c r="D46" s="9"/>
      <c r="E46" s="28"/>
      <c r="F46" s="28"/>
      <c r="G46" s="60"/>
      <c r="H46" s="28"/>
      <c r="I46" s="28"/>
      <c r="J46" s="82"/>
      <c r="K46" s="9"/>
      <c r="L46" s="9"/>
      <c r="M46" s="9"/>
      <c r="O46" s="12"/>
      <c r="P46" s="13"/>
      <c r="Q46" s="13"/>
    </row>
    <row r="47" spans="3:17" ht="12.75">
      <c r="C47" s="71" t="s">
        <v>12</v>
      </c>
      <c r="D47" s="9"/>
      <c r="E47" s="28"/>
      <c r="F47" s="28"/>
      <c r="G47" s="60"/>
      <c r="H47" s="28"/>
      <c r="I47" s="28"/>
      <c r="J47" s="82"/>
      <c r="K47" s="9"/>
      <c r="L47" s="9"/>
      <c r="M47" s="9"/>
      <c r="O47" s="12"/>
      <c r="P47" s="13"/>
      <c r="Q47" s="13"/>
    </row>
    <row r="48" spans="3:16" ht="12.75">
      <c r="C48" s="73"/>
      <c r="D48" s="9"/>
      <c r="E48" s="28"/>
      <c r="F48" s="28"/>
      <c r="G48" s="60"/>
      <c r="H48" s="28"/>
      <c r="I48" s="28"/>
      <c r="J48" s="82"/>
      <c r="K48" s="9"/>
      <c r="L48" s="9"/>
      <c r="M48" s="9"/>
      <c r="P48" s="4"/>
    </row>
    <row r="49" spans="3:16" ht="12.75">
      <c r="C49" s="77" t="s">
        <v>19</v>
      </c>
      <c r="D49" s="9"/>
      <c r="E49" s="29">
        <v>-338.9</v>
      </c>
      <c r="F49" s="29"/>
      <c r="G49" s="61"/>
      <c r="H49" s="29">
        <v>-200.9</v>
      </c>
      <c r="I49" s="29"/>
      <c r="J49" s="82"/>
      <c r="K49" s="9"/>
      <c r="L49" s="9"/>
      <c r="M49" s="9"/>
      <c r="P49" s="4"/>
    </row>
    <row r="50" spans="3:16" ht="12.75">
      <c r="C50" s="75" t="s">
        <v>38</v>
      </c>
      <c r="D50" s="9"/>
      <c r="E50" s="29">
        <v>-1682.5</v>
      </c>
      <c r="F50" s="29"/>
      <c r="G50" s="61"/>
      <c r="H50" s="29">
        <v>-9000</v>
      </c>
      <c r="I50" s="29"/>
      <c r="J50" s="82"/>
      <c r="K50" s="9"/>
      <c r="L50" s="9"/>
      <c r="M50" s="9"/>
      <c r="P50" s="4"/>
    </row>
    <row r="51" spans="3:16" ht="12.75">
      <c r="C51" s="78" t="s">
        <v>25</v>
      </c>
      <c r="D51" s="9"/>
      <c r="E51" s="29">
        <v>-560</v>
      </c>
      <c r="F51" s="29"/>
      <c r="G51" s="61"/>
      <c r="H51" s="29">
        <v>-500</v>
      </c>
      <c r="I51" s="29"/>
      <c r="J51" s="82"/>
      <c r="K51" s="9"/>
      <c r="L51" s="9"/>
      <c r="M51" s="9"/>
      <c r="P51" s="4"/>
    </row>
    <row r="52" spans="3:16" ht="12.75">
      <c r="C52" s="75" t="s">
        <v>24</v>
      </c>
      <c r="D52" s="9"/>
      <c r="E52" s="29">
        <v>-500</v>
      </c>
      <c r="F52" s="29"/>
      <c r="G52" s="61"/>
      <c r="H52" s="29">
        <v>-500</v>
      </c>
      <c r="I52" s="29"/>
      <c r="J52" s="82"/>
      <c r="K52" s="9"/>
      <c r="L52" s="9"/>
      <c r="M52" s="9"/>
      <c r="P52" s="4"/>
    </row>
    <row r="53" spans="3:16" ht="12.75">
      <c r="C53" s="75" t="s">
        <v>53</v>
      </c>
      <c r="D53" s="9"/>
      <c r="E53" s="29">
        <v>-332.95</v>
      </c>
      <c r="F53" s="29"/>
      <c r="G53" s="61"/>
      <c r="H53" s="36" t="s">
        <v>65</v>
      </c>
      <c r="I53" s="29"/>
      <c r="J53" s="82"/>
      <c r="K53" s="9"/>
      <c r="L53" s="9"/>
      <c r="M53" s="9"/>
      <c r="P53" s="4"/>
    </row>
    <row r="54" spans="3:16" ht="12.75">
      <c r="C54" s="78" t="s">
        <v>20</v>
      </c>
      <c r="D54" s="9"/>
      <c r="E54" s="29">
        <f>-(501.87+495.35)</f>
        <v>-997.22</v>
      </c>
      <c r="F54" s="29"/>
      <c r="G54" s="61"/>
      <c r="H54" s="29">
        <v>-765</v>
      </c>
      <c r="I54" s="29"/>
      <c r="J54" s="82"/>
      <c r="K54" s="9"/>
      <c r="L54" s="9"/>
      <c r="M54" s="9"/>
      <c r="P54" s="4"/>
    </row>
    <row r="55" spans="3:16" ht="12.75">
      <c r="C55" s="78" t="s">
        <v>58</v>
      </c>
      <c r="D55" s="9"/>
      <c r="E55" s="29">
        <f>-323.38-939.3</f>
        <v>-1262.6799999999998</v>
      </c>
      <c r="F55" s="29"/>
      <c r="G55" s="61"/>
      <c r="H55" s="29">
        <v>-946.2</v>
      </c>
      <c r="I55" s="29"/>
      <c r="J55" s="82"/>
      <c r="K55" s="9"/>
      <c r="L55" s="9"/>
      <c r="M55" s="9"/>
      <c r="P55" s="4"/>
    </row>
    <row r="56" spans="3:16" ht="12.75">
      <c r="C56" s="78" t="s">
        <v>39</v>
      </c>
      <c r="D56" s="9"/>
      <c r="E56" s="29"/>
      <c r="F56" s="29"/>
      <c r="G56" s="61"/>
      <c r="H56" s="29">
        <v>-440</v>
      </c>
      <c r="I56" s="29"/>
      <c r="J56" s="82"/>
      <c r="K56" s="9"/>
      <c r="L56" s="9"/>
      <c r="M56" s="9"/>
      <c r="P56" s="4"/>
    </row>
    <row r="57" spans="3:16" ht="12.75">
      <c r="C57" s="78" t="s">
        <v>52</v>
      </c>
      <c r="D57" s="9"/>
      <c r="E57" s="29">
        <v>-375.9210000000055</v>
      </c>
      <c r="F57" s="29"/>
      <c r="G57" s="61"/>
      <c r="H57" s="36" t="s">
        <v>65</v>
      </c>
      <c r="I57" s="29"/>
      <c r="J57" s="82"/>
      <c r="K57" s="9"/>
      <c r="L57" s="9"/>
      <c r="M57" s="9"/>
      <c r="P57" s="4"/>
    </row>
    <row r="58" spans="3:16" ht="12.75">
      <c r="C58" s="78" t="s">
        <v>55</v>
      </c>
      <c r="D58" s="9"/>
      <c r="E58" s="29">
        <v>-71</v>
      </c>
      <c r="F58" s="29"/>
      <c r="G58" s="61"/>
      <c r="H58" s="36" t="s">
        <v>65</v>
      </c>
      <c r="I58" s="29"/>
      <c r="J58" s="82"/>
      <c r="K58" s="9"/>
      <c r="L58" s="9"/>
      <c r="M58" s="9"/>
      <c r="P58" s="4"/>
    </row>
    <row r="59" spans="3:16" ht="12.75">
      <c r="C59" s="78" t="s">
        <v>57</v>
      </c>
      <c r="D59" s="9"/>
      <c r="E59" s="29">
        <v>-27</v>
      </c>
      <c r="F59" s="29"/>
      <c r="G59" s="61"/>
      <c r="H59" s="36" t="s">
        <v>65</v>
      </c>
      <c r="I59" s="29"/>
      <c r="J59" s="82"/>
      <c r="K59" s="9"/>
      <c r="L59" s="9"/>
      <c r="M59" s="9"/>
      <c r="P59" s="4"/>
    </row>
    <row r="60" spans="3:16" ht="12.75">
      <c r="C60" s="75" t="s">
        <v>54</v>
      </c>
      <c r="D60" s="9"/>
      <c r="E60" s="30">
        <v>-4936.5</v>
      </c>
      <c r="F60" s="29"/>
      <c r="G60" s="61"/>
      <c r="H60" s="37" t="s">
        <v>65</v>
      </c>
      <c r="I60" s="29"/>
      <c r="J60" s="82"/>
      <c r="K60" s="9"/>
      <c r="L60" s="9"/>
      <c r="M60" s="9"/>
      <c r="P60" s="4"/>
    </row>
    <row r="61" spans="3:16" s="16" customFormat="1" ht="12.75">
      <c r="C61" s="80" t="s">
        <v>70</v>
      </c>
      <c r="D61" s="33"/>
      <c r="E61" s="50"/>
      <c r="F61" s="50">
        <f>SUM(E49:E60)</f>
        <v>-11084.671000000006</v>
      </c>
      <c r="G61" s="62"/>
      <c r="H61" s="50"/>
      <c r="I61" s="50">
        <f>SUM(H49:H60)</f>
        <v>-12352.1</v>
      </c>
      <c r="J61" s="85"/>
      <c r="K61" s="33"/>
      <c r="L61" s="33"/>
      <c r="M61" s="33"/>
      <c r="N61" s="24"/>
      <c r="O61" s="24"/>
      <c r="P61" s="35"/>
    </row>
    <row r="62" spans="3:16" ht="12.75">
      <c r="C62" s="73"/>
      <c r="D62" s="9"/>
      <c r="E62" s="28"/>
      <c r="F62" s="28"/>
      <c r="G62" s="60"/>
      <c r="H62" s="28"/>
      <c r="I62" s="28"/>
      <c r="J62" s="82"/>
      <c r="K62" s="9"/>
      <c r="L62" s="9"/>
      <c r="M62" s="9"/>
      <c r="P62" s="4"/>
    </row>
    <row r="63" spans="3:16" s="16" customFormat="1" ht="13.5" thickBot="1">
      <c r="C63" s="80" t="s">
        <v>71</v>
      </c>
      <c r="D63" s="33"/>
      <c r="E63" s="34"/>
      <c r="F63" s="39">
        <f>F45+F61</f>
        <v>1203.359999999997</v>
      </c>
      <c r="G63" s="63"/>
      <c r="H63" s="34"/>
      <c r="I63" s="38">
        <f>I45+I61</f>
        <v>-323.8500000000022</v>
      </c>
      <c r="J63" s="85"/>
      <c r="K63" s="33"/>
      <c r="L63" s="33"/>
      <c r="M63" s="33"/>
      <c r="N63" s="24"/>
      <c r="O63" s="24"/>
      <c r="P63" s="35"/>
    </row>
    <row r="64" spans="3:15" ht="14.25" thickBot="1" thickTop="1">
      <c r="C64" s="86"/>
      <c r="D64" s="87"/>
      <c r="E64" s="87"/>
      <c r="F64" s="87"/>
      <c r="G64" s="88"/>
      <c r="H64" s="87"/>
      <c r="I64" s="87"/>
      <c r="J64" s="89"/>
      <c r="O64" s="4"/>
    </row>
    <row r="65" spans="3:16" ht="12.75">
      <c r="C65" s="90"/>
      <c r="D65" s="91"/>
      <c r="E65" s="91"/>
      <c r="F65" s="91"/>
      <c r="G65" s="91"/>
      <c r="H65" s="91"/>
      <c r="I65" s="91"/>
      <c r="J65" s="92"/>
      <c r="K65" s="6"/>
      <c r="L65" s="6"/>
      <c r="M65" s="6"/>
      <c r="N65"/>
      <c r="O65"/>
      <c r="P65"/>
    </row>
    <row r="66" spans="3:16" ht="12.75">
      <c r="C66" s="93" t="s">
        <v>64</v>
      </c>
      <c r="D66" s="22"/>
      <c r="E66" s="22"/>
      <c r="F66" s="45" t="s">
        <v>72</v>
      </c>
      <c r="I66" s="22"/>
      <c r="J66" s="74"/>
      <c r="L66" s="22"/>
      <c r="M66" s="22"/>
      <c r="N66"/>
      <c r="O66"/>
      <c r="P66"/>
    </row>
    <row r="67" spans="3:16" ht="12.75">
      <c r="C67" s="94"/>
      <c r="D67" s="22"/>
      <c r="E67" s="22"/>
      <c r="F67" s="22"/>
      <c r="I67" s="22"/>
      <c r="J67" s="74"/>
      <c r="L67"/>
      <c r="M67"/>
      <c r="N67"/>
      <c r="O67"/>
      <c r="P67"/>
    </row>
    <row r="68" spans="3:16" ht="12.75">
      <c r="C68" s="95" t="s">
        <v>29</v>
      </c>
      <c r="D68" s="22"/>
      <c r="E68" s="22"/>
      <c r="F68" s="22" t="s">
        <v>30</v>
      </c>
      <c r="I68" s="22"/>
      <c r="J68" s="74"/>
      <c r="L68"/>
      <c r="M68"/>
      <c r="N68"/>
      <c r="O68"/>
      <c r="P68"/>
    </row>
    <row r="69" spans="3:16" ht="12.75">
      <c r="C69" s="94"/>
      <c r="D69" s="22"/>
      <c r="E69" s="22"/>
      <c r="F69" s="22"/>
      <c r="I69" s="22"/>
      <c r="J69" s="74"/>
      <c r="L69"/>
      <c r="M69"/>
      <c r="N69"/>
      <c r="O69"/>
      <c r="P69"/>
    </row>
    <row r="70" spans="3:16" ht="12.75">
      <c r="C70" s="123" t="s">
        <v>91</v>
      </c>
      <c r="D70" s="22"/>
      <c r="E70" s="22"/>
      <c r="F70" s="124" t="s">
        <v>91</v>
      </c>
      <c r="I70" s="22"/>
      <c r="J70" s="74"/>
      <c r="L70"/>
      <c r="M70"/>
      <c r="N70"/>
      <c r="O70"/>
      <c r="P70"/>
    </row>
    <row r="71" spans="3:16" ht="13.5" thickBot="1">
      <c r="C71" s="96"/>
      <c r="D71" s="87"/>
      <c r="E71" s="87"/>
      <c r="F71" s="87"/>
      <c r="G71" s="87"/>
      <c r="H71" s="87"/>
      <c r="I71" s="87"/>
      <c r="J71" s="89"/>
      <c r="N71"/>
      <c r="O71"/>
      <c r="P71"/>
    </row>
    <row r="72" spans="14:16" ht="12.75">
      <c r="N72"/>
      <c r="O72"/>
      <c r="P72"/>
    </row>
    <row r="73" spans="14:16" ht="12.75">
      <c r="N73"/>
      <c r="O73"/>
      <c r="P73"/>
    </row>
    <row r="74" spans="14:16" ht="12.75">
      <c r="N74"/>
      <c r="O74"/>
      <c r="P74"/>
    </row>
    <row r="75" spans="3:16" ht="12.75">
      <c r="C75" s="1" t="s">
        <v>43</v>
      </c>
      <c r="E75" s="3" t="s">
        <v>2</v>
      </c>
      <c r="F75" s="3" t="s">
        <v>66</v>
      </c>
      <c r="P75"/>
    </row>
    <row r="76" spans="3:6" ht="12.75">
      <c r="C76" s="15" t="s">
        <v>46</v>
      </c>
      <c r="E76" s="25">
        <f>E11+E25</f>
        <v>4596.74</v>
      </c>
      <c r="F76" s="40">
        <f>E76/($F$21+$F$33)</f>
        <v>0.33290698261376955</v>
      </c>
    </row>
    <row r="77" spans="3:6" ht="12.75">
      <c r="C77" s="2" t="s">
        <v>6</v>
      </c>
      <c r="E77" s="25">
        <f>E12+E26</f>
        <v>3926.8100000000004</v>
      </c>
      <c r="F77" s="40">
        <f aca="true" t="shared" si="0" ref="F77:F83">E77/($F$21+$F$33)</f>
        <v>0.28438903840495144</v>
      </c>
    </row>
    <row r="78" spans="3:6" ht="12.75">
      <c r="C78" s="15" t="s">
        <v>49</v>
      </c>
      <c r="E78" s="25">
        <f>E13+E27</f>
        <v>2399</v>
      </c>
      <c r="F78" s="40">
        <f t="shared" si="0"/>
        <v>0.17374135828661902</v>
      </c>
    </row>
    <row r="79" spans="3:6" ht="12.75">
      <c r="C79" s="15" t="s">
        <v>44</v>
      </c>
      <c r="E79" s="25">
        <f>E14+E28</f>
        <v>802.6300000000001</v>
      </c>
      <c r="F79" s="40">
        <f t="shared" si="0"/>
        <v>0.05812839783309256</v>
      </c>
    </row>
    <row r="80" spans="3:6" ht="12.75">
      <c r="C80" s="15" t="s">
        <v>60</v>
      </c>
      <c r="E80" s="25">
        <f>E15</f>
        <v>466.45</v>
      </c>
      <c r="F80" s="40">
        <f t="shared" si="0"/>
        <v>0.03378143250220652</v>
      </c>
    </row>
    <row r="81" spans="3:6" ht="12.75">
      <c r="C81" s="15" t="s">
        <v>4</v>
      </c>
      <c r="E81" s="25">
        <f>E16+E29</f>
        <v>396.53999999999996</v>
      </c>
      <c r="F81" s="40">
        <f t="shared" si="0"/>
        <v>0.028718381915371363</v>
      </c>
    </row>
    <row r="82" spans="3:6" ht="12.75">
      <c r="C82" s="15" t="s">
        <v>3</v>
      </c>
      <c r="E82" s="25">
        <f>E17+E30</f>
        <v>368</v>
      </c>
      <c r="F82" s="40">
        <f t="shared" si="0"/>
        <v>0.026651446373270448</v>
      </c>
    </row>
    <row r="83" spans="3:6" ht="12.75">
      <c r="C83" s="8" t="s">
        <v>52</v>
      </c>
      <c r="E83" s="25">
        <f>E84-SUM(E76:E82)</f>
        <v>851.7110000000011</v>
      </c>
      <c r="F83" s="40">
        <f t="shared" si="0"/>
        <v>0.06168296207071896</v>
      </c>
    </row>
    <row r="84" spans="3:6" ht="13.5" thickBot="1">
      <c r="C84" s="15"/>
      <c r="E84" s="42">
        <f>F21+F33</f>
        <v>13807.881000000003</v>
      </c>
      <c r="F84" s="41">
        <f>SUM(F76:F83)</f>
        <v>0.9999999999999999</v>
      </c>
    </row>
    <row r="85" spans="3:19" s="2" customFormat="1" ht="13.5" thickTop="1">
      <c r="C85" s="14"/>
      <c r="E85" s="9"/>
      <c r="Q85"/>
      <c r="R85"/>
      <c r="S85"/>
    </row>
  </sheetData>
  <sheetProtection/>
  <mergeCells count="3">
    <mergeCell ref="E7:F7"/>
    <mergeCell ref="H7:I7"/>
    <mergeCell ref="K7:L7"/>
  </mergeCells>
  <printOptions horizontalCentered="1"/>
  <pageMargins left="0.35433070866141736" right="0.15748031496062992" top="0.3937007874015748" bottom="0.3937007874015748" header="0.5118110236220472" footer="0.5118110236220472"/>
  <pageSetup fitToHeight="1" fitToWidth="1"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"/>
  <sheetViews>
    <sheetView zoomScalePageLayoutView="0" workbookViewId="0" topLeftCell="A1">
      <selection activeCell="M8" sqref="M8"/>
    </sheetView>
  </sheetViews>
  <sheetFormatPr defaultColWidth="11.421875" defaultRowHeight="12.75"/>
  <cols>
    <col min="1" max="1" width="34.140625" style="2" customWidth="1"/>
    <col min="2" max="2" width="2.8515625" style="2" customWidth="1"/>
    <col min="3" max="4" width="11.140625" style="2" customWidth="1"/>
    <col min="5" max="6" width="2.8515625" style="2" customWidth="1"/>
    <col min="7" max="8" width="11.140625" style="2" customWidth="1"/>
    <col min="9" max="9" width="2.8515625" style="2" customWidth="1"/>
    <col min="10" max="11" width="11.140625" style="2" customWidth="1"/>
    <col min="12" max="12" width="2.8515625" style="2" customWidth="1"/>
    <col min="13" max="13" width="10.28125" style="2" bestFit="1" customWidth="1"/>
    <col min="14" max="14" width="10.7109375" style="2" bestFit="1" customWidth="1"/>
    <col min="15" max="15" width="2.8515625" style="2" customWidth="1"/>
  </cols>
  <sheetData>
    <row r="1" spans="1:15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2.75">
      <c r="A3" s="1" t="s">
        <v>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ht="9" customHeight="1"/>
    <row r="5" spans="2:15" ht="12.75">
      <c r="B5" s="3"/>
      <c r="C5" s="19">
        <v>2019</v>
      </c>
      <c r="D5" s="19"/>
      <c r="E5" s="3"/>
      <c r="F5" s="3"/>
      <c r="G5" s="19">
        <v>2018</v>
      </c>
      <c r="H5" s="19"/>
      <c r="I5" s="3"/>
      <c r="J5" s="19">
        <v>2017</v>
      </c>
      <c r="K5" s="19"/>
      <c r="L5" s="3"/>
      <c r="O5" s="3"/>
    </row>
    <row r="6" spans="1:18" ht="12.75">
      <c r="A6" s="1" t="s">
        <v>1</v>
      </c>
      <c r="B6" s="3"/>
      <c r="C6" s="3" t="s">
        <v>2</v>
      </c>
      <c r="D6" s="3" t="s">
        <v>2</v>
      </c>
      <c r="E6" s="3"/>
      <c r="F6" s="3"/>
      <c r="G6" s="3" t="s">
        <v>2</v>
      </c>
      <c r="H6" s="3" t="s">
        <v>2</v>
      </c>
      <c r="I6" s="3"/>
      <c r="J6" s="3" t="s">
        <v>2</v>
      </c>
      <c r="K6" s="3" t="s">
        <v>2</v>
      </c>
      <c r="L6" s="3"/>
      <c r="O6" s="3"/>
      <c r="P6" s="2"/>
      <c r="Q6" s="4"/>
      <c r="R6" s="4"/>
    </row>
    <row r="7" spans="2:18" ht="12.75">
      <c r="B7"/>
      <c r="C7"/>
      <c r="D7"/>
      <c r="E7"/>
      <c r="F7"/>
      <c r="G7"/>
      <c r="H7"/>
      <c r="I7"/>
      <c r="J7"/>
      <c r="K7"/>
      <c r="L7"/>
      <c r="O7"/>
      <c r="P7" s="2"/>
      <c r="Q7" s="4"/>
      <c r="R7" s="4"/>
    </row>
    <row r="8" spans="1:18" ht="12.75">
      <c r="A8" s="15" t="s">
        <v>33</v>
      </c>
      <c r="B8"/>
      <c r="C8">
        <v>0</v>
      </c>
      <c r="D8"/>
      <c r="E8"/>
      <c r="F8"/>
      <c r="G8">
        <v>882.27</v>
      </c>
      <c r="H8"/>
      <c r="I8"/>
      <c r="J8" s="9">
        <v>0</v>
      </c>
      <c r="K8"/>
      <c r="L8"/>
      <c r="O8"/>
      <c r="P8" s="2"/>
      <c r="Q8" s="4"/>
      <c r="R8" s="4"/>
    </row>
    <row r="9" spans="1:17" ht="12.75">
      <c r="A9" s="15" t="s">
        <v>42</v>
      </c>
      <c r="B9" s="9"/>
      <c r="C9" s="17">
        <f>2989.15</f>
        <v>2989.15</v>
      </c>
      <c r="D9" s="9"/>
      <c r="E9" s="9"/>
      <c r="F9" s="9"/>
      <c r="G9" s="9">
        <v>3218.82</v>
      </c>
      <c r="H9" s="9"/>
      <c r="I9" s="9"/>
      <c r="J9" s="9">
        <v>2745.1</v>
      </c>
      <c r="K9" s="9"/>
      <c r="L9" s="9"/>
      <c r="O9" s="4"/>
      <c r="P9" s="5"/>
      <c r="Q9" s="5"/>
    </row>
    <row r="10" spans="1:17" ht="12.75">
      <c r="A10" s="14" t="s">
        <v>47</v>
      </c>
      <c r="B10" s="9"/>
      <c r="C10" s="9">
        <f>'[1]Nativity  Carol Serv'!$C$15</f>
        <v>244</v>
      </c>
      <c r="D10" s="9"/>
      <c r="E10" s="9"/>
      <c r="F10" s="9"/>
      <c r="G10" s="9">
        <f>2974.93+320.36</f>
        <v>3295.29</v>
      </c>
      <c r="H10" s="9"/>
      <c r="I10" s="9"/>
      <c r="J10" s="9">
        <f>2628.41+257.5</f>
        <v>2885.91</v>
      </c>
      <c r="K10" s="9"/>
      <c r="L10" s="9"/>
      <c r="O10" s="4"/>
      <c r="P10" s="5"/>
      <c r="Q10" s="5"/>
    </row>
    <row r="11" spans="1:15" ht="12.75">
      <c r="A11" s="15" t="s">
        <v>36</v>
      </c>
      <c r="B11" s="9"/>
      <c r="C11" s="9">
        <v>261.221</v>
      </c>
      <c r="D11" s="9"/>
      <c r="E11" s="9"/>
      <c r="F11" s="9"/>
      <c r="G11" s="9">
        <v>288</v>
      </c>
      <c r="H11" s="9"/>
      <c r="I11" s="9"/>
      <c r="J11" s="9">
        <v>79.31</v>
      </c>
      <c r="K11" s="9"/>
      <c r="L11" s="9"/>
      <c r="O11" s="4"/>
    </row>
    <row r="12" spans="1:15" ht="12.75">
      <c r="A12" s="15" t="s">
        <v>32</v>
      </c>
      <c r="B12" s="9"/>
      <c r="C12" s="9">
        <v>0</v>
      </c>
      <c r="D12" s="9"/>
      <c r="E12" s="9"/>
      <c r="F12" s="9"/>
      <c r="G12" s="9">
        <v>49.87</v>
      </c>
      <c r="H12" s="9"/>
      <c r="I12" s="9"/>
      <c r="J12" s="9">
        <v>0</v>
      </c>
      <c r="K12" s="9"/>
      <c r="L12" s="9"/>
      <c r="O12" s="4"/>
    </row>
    <row r="13" spans="1:15" ht="12.75">
      <c r="A13" s="15" t="s">
        <v>21</v>
      </c>
      <c r="B13" s="9"/>
      <c r="C13" s="9">
        <v>0</v>
      </c>
      <c r="D13" s="9"/>
      <c r="E13" s="9"/>
      <c r="F13" s="9"/>
      <c r="G13" s="9">
        <v>0</v>
      </c>
      <c r="H13" s="9"/>
      <c r="I13" s="9"/>
      <c r="J13" s="9">
        <v>1328.5</v>
      </c>
      <c r="K13" s="9"/>
      <c r="L13" s="9"/>
      <c r="O13" s="4"/>
    </row>
    <row r="14" spans="1:17" ht="12" customHeight="1">
      <c r="A14" s="2" t="s">
        <v>4</v>
      </c>
      <c r="B14" s="9"/>
      <c r="C14" s="9">
        <v>1189.6</v>
      </c>
      <c r="D14" s="9"/>
      <c r="E14" s="9"/>
      <c r="F14" s="9"/>
      <c r="G14" s="9">
        <v>667</v>
      </c>
      <c r="H14" s="9"/>
      <c r="I14" s="9"/>
      <c r="J14" s="9">
        <v>500</v>
      </c>
      <c r="K14" s="9"/>
      <c r="L14" s="9"/>
      <c r="O14" s="4"/>
      <c r="P14" s="5"/>
      <c r="Q14" s="5"/>
    </row>
    <row r="15" spans="1:17" ht="12" customHeight="1">
      <c r="A15" s="15" t="s">
        <v>34</v>
      </c>
      <c r="B15" s="9"/>
      <c r="C15" s="9">
        <f>'[1]Summer Fair '!$B$38</f>
        <v>5051</v>
      </c>
      <c r="D15" s="9"/>
      <c r="E15" s="9"/>
      <c r="F15" s="9"/>
      <c r="G15" s="9">
        <v>2849.75</v>
      </c>
      <c r="H15" s="9"/>
      <c r="I15" s="9"/>
      <c r="J15" s="9">
        <v>0</v>
      </c>
      <c r="K15" s="9"/>
      <c r="L15" s="9"/>
      <c r="O15" s="4"/>
      <c r="P15" s="5"/>
      <c r="Q15" s="5"/>
    </row>
    <row r="16" spans="1:15" ht="12.75">
      <c r="A16" s="2" t="s">
        <v>3</v>
      </c>
      <c r="B16" s="9"/>
      <c r="C16" s="9">
        <v>1104</v>
      </c>
      <c r="D16" s="9"/>
      <c r="E16" s="9"/>
      <c r="F16" s="9"/>
      <c r="G16" s="9">
        <v>876.35</v>
      </c>
      <c r="H16" s="9"/>
      <c r="I16" s="9"/>
      <c r="J16" s="9">
        <v>693.75</v>
      </c>
      <c r="K16" s="9"/>
      <c r="L16" s="9"/>
      <c r="O16" s="4"/>
    </row>
    <row r="17" spans="1:15" ht="12.75">
      <c r="A17" s="15" t="s">
        <v>22</v>
      </c>
      <c r="B17" s="9"/>
      <c r="C17" s="9"/>
      <c r="D17" s="9"/>
      <c r="E17" s="9"/>
      <c r="F17" s="9"/>
      <c r="G17" s="9">
        <v>50</v>
      </c>
      <c r="H17" s="9"/>
      <c r="I17" s="9"/>
      <c r="J17" s="9">
        <v>170</v>
      </c>
      <c r="K17" s="9"/>
      <c r="L17" s="9"/>
      <c r="O17" s="4"/>
    </row>
    <row r="18" spans="1:15" ht="12.75">
      <c r="A18" s="14" t="s">
        <v>48</v>
      </c>
      <c r="B18" s="9"/>
      <c r="C18" s="9">
        <f>'[1]Smartie Challenge '!$C$14</f>
        <v>2550</v>
      </c>
      <c r="D18" s="9"/>
      <c r="E18" s="9"/>
      <c r="F18" s="9"/>
      <c r="G18" s="9">
        <v>0</v>
      </c>
      <c r="H18" s="9"/>
      <c r="I18" s="9"/>
      <c r="J18" s="9">
        <v>0</v>
      </c>
      <c r="K18" s="9"/>
      <c r="L18" s="9"/>
      <c r="O18" s="4"/>
    </row>
    <row r="19" spans="1:15" ht="12.75">
      <c r="A19" s="14" t="s">
        <v>37</v>
      </c>
      <c r="B19" s="9"/>
      <c r="C19" s="9">
        <v>240</v>
      </c>
      <c r="D19" s="9"/>
      <c r="E19" s="9"/>
      <c r="F19" s="9"/>
      <c r="G19" s="9">
        <v>162</v>
      </c>
      <c r="H19" s="9"/>
      <c r="I19" s="9"/>
      <c r="J19" s="9">
        <v>0</v>
      </c>
      <c r="K19" s="9"/>
      <c r="L19" s="9"/>
      <c r="O19" s="4"/>
    </row>
    <row r="20" spans="1:17" ht="12.75">
      <c r="A20" s="2" t="s">
        <v>5</v>
      </c>
      <c r="B20" s="9"/>
      <c r="C20" s="9">
        <f>'[1]Discos'!$C$14</f>
        <v>825.85</v>
      </c>
      <c r="D20" s="9"/>
      <c r="E20" s="9"/>
      <c r="F20" s="9"/>
      <c r="G20" s="9">
        <v>710</v>
      </c>
      <c r="H20" s="9"/>
      <c r="I20" s="9"/>
      <c r="J20" s="9">
        <v>0</v>
      </c>
      <c r="K20" s="9"/>
      <c r="L20" s="9"/>
      <c r="O20" s="4"/>
      <c r="P20" s="5"/>
      <c r="Q20" s="5"/>
    </row>
    <row r="21" spans="1:17" ht="12.75">
      <c r="A21" s="2" t="s">
        <v>6</v>
      </c>
      <c r="B21" s="9"/>
      <c r="C21" s="9">
        <f>'[1]Summer Fair '!$B$47-'[1]Summer Fair '!$B$38</f>
        <v>6048.970000000001</v>
      </c>
      <c r="D21" s="9"/>
      <c r="E21" s="9"/>
      <c r="F21" s="9"/>
      <c r="G21" s="9">
        <v>5696.91</v>
      </c>
      <c r="H21" s="9"/>
      <c r="I21" s="9"/>
      <c r="J21" s="9">
        <v>4915.11</v>
      </c>
      <c r="K21" s="9"/>
      <c r="L21" s="9"/>
      <c r="O21" s="4"/>
      <c r="P21" s="5"/>
      <c r="Q21" s="5"/>
    </row>
    <row r="22" spans="1:17" ht="12.75">
      <c r="A22" s="15" t="s">
        <v>50</v>
      </c>
      <c r="B22" s="9"/>
      <c r="C22" s="9">
        <f>'[1]Xmas Jumper Day'!$C$23</f>
        <v>130.2</v>
      </c>
      <c r="D22" s="9"/>
      <c r="E22" s="9"/>
      <c r="F22" s="9"/>
      <c r="G22" s="9"/>
      <c r="H22" s="9"/>
      <c r="I22" s="9"/>
      <c r="J22" s="9"/>
      <c r="K22" s="9"/>
      <c r="L22" s="9"/>
      <c r="O22" s="4"/>
      <c r="P22" s="5"/>
      <c r="Q22" s="5"/>
    </row>
    <row r="23" spans="1:17" ht="12.75">
      <c r="A23" s="15" t="s">
        <v>51</v>
      </c>
      <c r="B23" s="9"/>
      <c r="C23" s="9">
        <v>164</v>
      </c>
      <c r="D23" s="9"/>
      <c r="E23" s="9"/>
      <c r="F23" s="9"/>
      <c r="G23" s="9"/>
      <c r="H23" s="9"/>
      <c r="I23" s="9"/>
      <c r="J23" s="9"/>
      <c r="K23" s="9"/>
      <c r="L23" s="9"/>
      <c r="O23" s="4"/>
      <c r="P23" s="5"/>
      <c r="Q23" s="5"/>
    </row>
    <row r="24" spans="1:17" ht="12.75">
      <c r="A24" s="15" t="s">
        <v>60</v>
      </c>
      <c r="B24" s="9"/>
      <c r="C24" s="9">
        <v>466.45</v>
      </c>
      <c r="D24" s="9"/>
      <c r="E24" s="9"/>
      <c r="F24" s="9"/>
      <c r="G24" s="9"/>
      <c r="H24" s="9"/>
      <c r="I24" s="9"/>
      <c r="J24" s="9"/>
      <c r="K24" s="9"/>
      <c r="L24" s="9"/>
      <c r="O24" s="4"/>
      <c r="P24" s="5"/>
      <c r="Q24" s="5"/>
    </row>
    <row r="25" spans="1:15" ht="12.75">
      <c r="A25" s="2" t="s">
        <v>14</v>
      </c>
      <c r="B25" s="9"/>
      <c r="C25" s="10"/>
      <c r="D25" s="9"/>
      <c r="E25" s="9"/>
      <c r="F25" s="9"/>
      <c r="G25" s="10">
        <v>1000</v>
      </c>
      <c r="H25" s="9"/>
      <c r="I25" s="9"/>
      <c r="J25" s="10">
        <v>0</v>
      </c>
      <c r="K25" s="9"/>
      <c r="L25" s="9"/>
      <c r="O25" s="4"/>
    </row>
    <row r="26" spans="2:15" ht="12.75">
      <c r="B26" s="9"/>
      <c r="C26" s="9"/>
      <c r="D26" s="9">
        <f>SUM(C8:C25)</f>
        <v>21264.441000000003</v>
      </c>
      <c r="E26" s="9"/>
      <c r="F26" s="9"/>
      <c r="G26" s="9"/>
      <c r="H26" s="9">
        <f>SUM(G8:G25)</f>
        <v>19746.260000000002</v>
      </c>
      <c r="I26" s="9"/>
      <c r="J26" s="9"/>
      <c r="K26" s="9">
        <f>SUM(J9:J25)</f>
        <v>13317.68</v>
      </c>
      <c r="L26" s="9"/>
      <c r="O26" s="4"/>
    </row>
    <row r="27" spans="1:15" ht="12.75">
      <c r="A27" s="1" t="s">
        <v>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O27" s="4"/>
    </row>
    <row r="28" spans="2:15" ht="12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O28" s="4"/>
    </row>
    <row r="29" spans="1:17" ht="12.75">
      <c r="A29" s="15" t="s">
        <v>42</v>
      </c>
      <c r="B29" s="9"/>
      <c r="C29" s="9">
        <v>-2186.52</v>
      </c>
      <c r="D29" s="9"/>
      <c r="E29" s="9"/>
      <c r="F29" s="9"/>
      <c r="G29" s="9">
        <v>-2347.4</v>
      </c>
      <c r="H29" s="9"/>
      <c r="I29" s="9"/>
      <c r="J29" s="9">
        <v>-2031.37</v>
      </c>
      <c r="K29" s="9"/>
      <c r="L29" s="9"/>
      <c r="O29" s="4"/>
      <c r="Q29" s="5"/>
    </row>
    <row r="30" spans="1:17" ht="12.75">
      <c r="A30" s="14" t="s">
        <v>47</v>
      </c>
      <c r="B30" s="9"/>
      <c r="C30" s="9">
        <f>-'[1]Nativity  Carol Serv'!$C$26</f>
        <v>-139.5</v>
      </c>
      <c r="D30" s="9"/>
      <c r="E30" s="9"/>
      <c r="F30" s="9"/>
      <c r="G30" s="9">
        <f>-1401.39-144.11</f>
        <v>-1545.5</v>
      </c>
      <c r="H30" s="9"/>
      <c r="I30" s="9"/>
      <c r="J30" s="9">
        <f>-2579.54-99</f>
        <v>-2678.54</v>
      </c>
      <c r="K30" s="9"/>
      <c r="L30" s="9"/>
      <c r="O30" s="4"/>
      <c r="Q30" s="5"/>
    </row>
    <row r="31" spans="1:17" ht="12.75">
      <c r="A31" s="15" t="s">
        <v>35</v>
      </c>
      <c r="B31" s="9"/>
      <c r="C31" s="9">
        <v>-135.8</v>
      </c>
      <c r="D31" s="9"/>
      <c r="E31" s="9"/>
      <c r="F31" s="9"/>
      <c r="G31" s="9">
        <v>-93.78</v>
      </c>
      <c r="H31" s="9"/>
      <c r="I31" s="9"/>
      <c r="J31" s="9">
        <v>0</v>
      </c>
      <c r="K31" s="9"/>
      <c r="L31" s="9"/>
      <c r="O31" s="4"/>
      <c r="Q31" s="5"/>
    </row>
    <row r="32" spans="1:17" ht="12.75">
      <c r="A32" s="15" t="s">
        <v>21</v>
      </c>
      <c r="B32" s="9"/>
      <c r="C32" s="9">
        <v>0</v>
      </c>
      <c r="D32" s="9"/>
      <c r="E32" s="9"/>
      <c r="F32" s="9"/>
      <c r="G32" s="9">
        <v>0</v>
      </c>
      <c r="H32" s="9"/>
      <c r="I32" s="9"/>
      <c r="J32" s="9">
        <v>-679.37</v>
      </c>
      <c r="K32" s="9"/>
      <c r="L32" s="9"/>
      <c r="O32" s="4"/>
      <c r="Q32" s="5"/>
    </row>
    <row r="33" spans="1:15" ht="12.75">
      <c r="A33" s="2" t="s">
        <v>4</v>
      </c>
      <c r="B33" s="9"/>
      <c r="C33" s="9">
        <f>-396.53*2</f>
        <v>-793.06</v>
      </c>
      <c r="D33" s="9"/>
      <c r="E33" s="9"/>
      <c r="F33" s="9"/>
      <c r="G33" s="9">
        <v>-616.94</v>
      </c>
      <c r="H33" s="9"/>
      <c r="I33" s="9"/>
      <c r="J33" s="9">
        <v>-39</v>
      </c>
      <c r="K33" s="9"/>
      <c r="L33" s="9"/>
      <c r="O33" s="4"/>
    </row>
    <row r="34" spans="1:15" ht="12.75">
      <c r="A34" s="15" t="s">
        <v>40</v>
      </c>
      <c r="B34" s="9"/>
      <c r="C34" s="9">
        <f>-'[1]Summer Fair '!$C$38</f>
        <v>-454.26</v>
      </c>
      <c r="D34" s="9"/>
      <c r="E34" s="9"/>
      <c r="F34" s="9"/>
      <c r="G34" s="9">
        <v>-85</v>
      </c>
      <c r="H34" s="9"/>
      <c r="I34" s="9"/>
      <c r="J34" s="9"/>
      <c r="K34" s="9"/>
      <c r="L34" s="9"/>
      <c r="O34" s="4"/>
    </row>
    <row r="35" spans="1:15" ht="12.75">
      <c r="A35" s="2" t="s">
        <v>3</v>
      </c>
      <c r="B35" s="9"/>
      <c r="C35" s="9">
        <f>-368*2</f>
        <v>-736</v>
      </c>
      <c r="D35" s="9"/>
      <c r="E35" s="9"/>
      <c r="F35" s="9"/>
      <c r="G35" s="9">
        <v>-216.58</v>
      </c>
      <c r="H35" s="9"/>
      <c r="I35" s="9"/>
      <c r="J35" s="9">
        <v>0</v>
      </c>
      <c r="K35" s="9"/>
      <c r="L35" s="9"/>
      <c r="O35" s="4"/>
    </row>
    <row r="36" spans="1:15" ht="12.75">
      <c r="A36" s="15" t="s">
        <v>22</v>
      </c>
      <c r="B36" s="9"/>
      <c r="C36" s="9"/>
      <c r="D36" s="9"/>
      <c r="E36" s="9"/>
      <c r="F36" s="9"/>
      <c r="G36" s="9">
        <v>0</v>
      </c>
      <c r="H36" s="9"/>
      <c r="I36" s="9"/>
      <c r="J36" s="9">
        <v>0</v>
      </c>
      <c r="K36" s="9"/>
      <c r="L36" s="9"/>
      <c r="O36" s="4"/>
    </row>
    <row r="37" spans="1:16" ht="12.75">
      <c r="A37" s="14" t="s">
        <v>48</v>
      </c>
      <c r="B37" s="9"/>
      <c r="C37" s="9">
        <f>-'[1]Smartie Challenge '!$C$21</f>
        <v>-151</v>
      </c>
      <c r="D37" s="9"/>
      <c r="E37" s="9"/>
      <c r="F37" s="9"/>
      <c r="G37" s="9">
        <v>0</v>
      </c>
      <c r="H37" s="9"/>
      <c r="I37" s="9"/>
      <c r="J37" s="9">
        <v>0</v>
      </c>
      <c r="K37" s="9"/>
      <c r="L37" s="9"/>
      <c r="O37" s="4"/>
      <c r="P37" s="5"/>
    </row>
    <row r="38" spans="1:16" ht="12.75">
      <c r="A38" s="14" t="s">
        <v>37</v>
      </c>
      <c r="B38" s="9"/>
      <c r="C38" s="9">
        <v>-92</v>
      </c>
      <c r="D38" s="9"/>
      <c r="E38" s="9"/>
      <c r="F38" s="9"/>
      <c r="G38" s="9">
        <v>-81.83</v>
      </c>
      <c r="H38" s="9"/>
      <c r="I38" s="9"/>
      <c r="J38" s="9">
        <v>0</v>
      </c>
      <c r="K38" s="9"/>
      <c r="L38" s="9"/>
      <c r="O38" s="4"/>
      <c r="P38" s="5"/>
    </row>
    <row r="39" spans="1:15" ht="12.75">
      <c r="A39" s="2" t="s">
        <v>5</v>
      </c>
      <c r="B39" s="9"/>
      <c r="C39" s="9">
        <f>-'[1]Discos'!$C$21-91.66</f>
        <v>-646.2599999999999</v>
      </c>
      <c r="D39" s="9"/>
      <c r="E39" s="9"/>
      <c r="F39" s="9"/>
      <c r="G39" s="9">
        <v>-306.12</v>
      </c>
      <c r="H39" s="9"/>
      <c r="I39" s="9"/>
      <c r="J39" s="9">
        <v>-183.12</v>
      </c>
      <c r="K39" s="9"/>
      <c r="L39" s="9"/>
      <c r="O39" s="4"/>
    </row>
    <row r="40" spans="1:15" ht="12.75">
      <c r="A40" s="2" t="s">
        <v>6</v>
      </c>
      <c r="B40" s="9"/>
      <c r="C40" s="9">
        <f>-'[1]Summer Fair '!$C$47+'[1]Summer Fair '!$C$38</f>
        <v>-2122.1600000000008</v>
      </c>
      <c r="D40" s="9"/>
      <c r="E40" s="9"/>
      <c r="F40" s="9"/>
      <c r="G40" s="9">
        <v>-2222.86</v>
      </c>
      <c r="H40" s="9"/>
      <c r="I40" s="9"/>
      <c r="J40" s="9">
        <v>-1550.7</v>
      </c>
      <c r="K40" s="9"/>
      <c r="L40" s="9"/>
      <c r="O40" s="4"/>
    </row>
    <row r="41" spans="1:15" ht="12.75">
      <c r="A41" s="2" t="s">
        <v>15</v>
      </c>
      <c r="B41" s="9"/>
      <c r="C41" s="10">
        <v>0</v>
      </c>
      <c r="D41" s="9"/>
      <c r="E41" s="9"/>
      <c r="F41" s="9"/>
      <c r="G41" s="10">
        <v>0</v>
      </c>
      <c r="H41" s="9"/>
      <c r="I41" s="9"/>
      <c r="J41" s="10">
        <v>0</v>
      </c>
      <c r="K41" s="9"/>
      <c r="L41" s="9"/>
      <c r="O41" s="4"/>
    </row>
    <row r="42" spans="2:15" ht="12.75">
      <c r="B42" s="9"/>
      <c r="C42" s="9"/>
      <c r="D42" s="9">
        <f>SUM(C29:C41)</f>
        <v>-7456.560000000001</v>
      </c>
      <c r="E42" s="9"/>
      <c r="F42" s="9"/>
      <c r="G42" s="9"/>
      <c r="H42" s="9">
        <f>SUM(G29:G41)</f>
        <v>-7516.01</v>
      </c>
      <c r="I42" s="9"/>
      <c r="J42" s="9"/>
      <c r="K42" s="9">
        <f>SUM(J29:J41)</f>
        <v>-7162.099999999999</v>
      </c>
      <c r="L42" s="9"/>
      <c r="O42" s="6"/>
    </row>
    <row r="43" spans="2:15" ht="12.7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O43" s="4"/>
    </row>
    <row r="44" spans="1:15" ht="12.75">
      <c r="A44" s="1" t="s">
        <v>8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O44" s="4"/>
    </row>
    <row r="45" spans="2:15" ht="12.7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O45" s="4"/>
    </row>
    <row r="46" spans="1:16" ht="12.75">
      <c r="A46" s="2" t="s">
        <v>9</v>
      </c>
      <c r="B46" s="9"/>
      <c r="C46" s="9">
        <v>-122</v>
      </c>
      <c r="D46" s="9"/>
      <c r="E46" s="9"/>
      <c r="F46" s="9"/>
      <c r="G46" s="9">
        <v>-122</v>
      </c>
      <c r="H46" s="9"/>
      <c r="I46" s="9"/>
      <c r="J46" s="9">
        <v>-106</v>
      </c>
      <c r="K46" s="9"/>
      <c r="L46" s="9"/>
      <c r="N46" s="12"/>
      <c r="O46" s="13"/>
      <c r="P46" s="13"/>
    </row>
    <row r="47" spans="1:16" ht="12.75">
      <c r="A47" s="14" t="s">
        <v>23</v>
      </c>
      <c r="B47" s="9"/>
      <c r="C47" s="9">
        <f>-12*5</f>
        <v>-60</v>
      </c>
      <c r="D47" s="9"/>
      <c r="E47" s="9"/>
      <c r="F47" s="9"/>
      <c r="G47" s="9">
        <v>-60</v>
      </c>
      <c r="H47" s="9"/>
      <c r="I47" s="9"/>
      <c r="J47" s="9">
        <v>-50</v>
      </c>
      <c r="K47" s="9"/>
      <c r="L47" s="9"/>
      <c r="N47" s="12"/>
      <c r="O47" s="13"/>
      <c r="P47" s="13"/>
    </row>
    <row r="48" spans="1:16" ht="12.75">
      <c r="A48" s="2" t="s">
        <v>10</v>
      </c>
      <c r="B48" s="9"/>
      <c r="C48" s="9">
        <v>0</v>
      </c>
      <c r="D48" s="9"/>
      <c r="E48" s="9"/>
      <c r="F48" s="9"/>
      <c r="G48" s="9">
        <v>0</v>
      </c>
      <c r="H48" s="9"/>
      <c r="I48" s="9"/>
      <c r="J48" s="9">
        <v>0</v>
      </c>
      <c r="K48" s="9"/>
      <c r="L48" s="9"/>
      <c r="N48" s="12"/>
      <c r="O48" s="13"/>
      <c r="P48" s="13"/>
    </row>
    <row r="49" spans="1:16" ht="12.75">
      <c r="A49" s="14" t="s">
        <v>18</v>
      </c>
      <c r="B49" s="9"/>
      <c r="C49" s="9">
        <v>0</v>
      </c>
      <c r="D49" s="9"/>
      <c r="E49" s="9"/>
      <c r="F49" s="9"/>
      <c r="G49" s="9">
        <v>0</v>
      </c>
      <c r="H49" s="9"/>
      <c r="I49" s="9"/>
      <c r="J49" s="9">
        <v>0</v>
      </c>
      <c r="K49" s="9"/>
      <c r="L49" s="9"/>
      <c r="N49" s="12"/>
      <c r="O49" s="13"/>
      <c r="P49" s="13"/>
    </row>
    <row r="50" spans="1:16" ht="12.75">
      <c r="A50" s="14" t="s">
        <v>59</v>
      </c>
      <c r="B50" s="9"/>
      <c r="C50" s="9">
        <f>-(106.93+644)</f>
        <v>-750.9300000000001</v>
      </c>
      <c r="D50" s="9"/>
      <c r="E50" s="9"/>
      <c r="F50" s="9"/>
      <c r="G50" s="9"/>
      <c r="H50" s="9"/>
      <c r="I50" s="9"/>
      <c r="J50" s="9"/>
      <c r="K50" s="9"/>
      <c r="L50" s="9"/>
      <c r="N50" s="12"/>
      <c r="O50" s="13"/>
      <c r="P50" s="13"/>
    </row>
    <row r="51" spans="1:16" ht="12.75">
      <c r="A51" s="14" t="s">
        <v>61</v>
      </c>
      <c r="B51" s="9"/>
      <c r="C51" s="9">
        <f>-379.92</f>
        <v>-379.92</v>
      </c>
      <c r="D51" s="9"/>
      <c r="E51" s="9"/>
      <c r="F51" s="9"/>
      <c r="G51" s="9"/>
      <c r="H51" s="9"/>
      <c r="I51" s="9"/>
      <c r="J51" s="9"/>
      <c r="K51" s="9"/>
      <c r="L51" s="9"/>
      <c r="N51" s="12"/>
      <c r="O51" s="13"/>
      <c r="P51" s="13"/>
    </row>
    <row r="52" spans="1:16" ht="12.75">
      <c r="A52" s="2" t="s">
        <v>17</v>
      </c>
      <c r="B52" s="9"/>
      <c r="C52" s="9">
        <v>0</v>
      </c>
      <c r="D52" s="9"/>
      <c r="E52" s="9"/>
      <c r="F52" s="9"/>
      <c r="G52" s="9">
        <v>0</v>
      </c>
      <c r="H52" s="9"/>
      <c r="I52" s="9"/>
      <c r="J52" s="9">
        <v>0</v>
      </c>
      <c r="K52" s="9"/>
      <c r="L52" s="9"/>
      <c r="N52" s="12"/>
      <c r="O52" s="13"/>
      <c r="P52" s="13"/>
    </row>
    <row r="53" spans="1:16" ht="12.75">
      <c r="A53" s="2" t="s">
        <v>16</v>
      </c>
      <c r="B53" s="9"/>
      <c r="C53" s="9">
        <v>0</v>
      </c>
      <c r="D53" s="9"/>
      <c r="E53" s="9"/>
      <c r="F53" s="9"/>
      <c r="G53" s="9">
        <v>0</v>
      </c>
      <c r="H53" s="9"/>
      <c r="I53" s="9"/>
      <c r="J53" s="9">
        <v>-8.05</v>
      </c>
      <c r="K53" s="9"/>
      <c r="L53" s="9"/>
      <c r="N53" s="12"/>
      <c r="O53" s="13"/>
      <c r="P53" s="13"/>
    </row>
    <row r="54" spans="1:16" ht="12.75">
      <c r="A54" s="15" t="s">
        <v>52</v>
      </c>
      <c r="B54" s="9"/>
      <c r="C54" s="9">
        <f>-15-150</f>
        <v>-165</v>
      </c>
      <c r="D54" s="9"/>
      <c r="E54" s="9"/>
      <c r="F54" s="9"/>
      <c r="G54" s="9"/>
      <c r="H54" s="9"/>
      <c r="I54" s="9"/>
      <c r="J54" s="9"/>
      <c r="K54" s="9"/>
      <c r="L54" s="9"/>
      <c r="N54" s="12"/>
      <c r="O54" s="13"/>
      <c r="P54" s="13"/>
    </row>
    <row r="55" spans="1:16" ht="12.75">
      <c r="A55" s="15" t="s">
        <v>56</v>
      </c>
      <c r="B55" s="9"/>
      <c r="C55" s="10">
        <f>-21-21</f>
        <v>-42</v>
      </c>
      <c r="D55" s="9"/>
      <c r="E55" s="9"/>
      <c r="F55" s="9"/>
      <c r="G55" s="10">
        <v>-20</v>
      </c>
      <c r="H55" s="9"/>
      <c r="I55" s="9"/>
      <c r="J55" s="10">
        <v>-20</v>
      </c>
      <c r="K55" s="9"/>
      <c r="L55" s="9"/>
      <c r="N55" s="12"/>
      <c r="O55" s="13"/>
      <c r="P55" s="13"/>
    </row>
    <row r="56" spans="2:16" ht="12.75">
      <c r="B56" s="9"/>
      <c r="C56" s="9"/>
      <c r="D56" s="9">
        <f>SUM(C46:C55)</f>
        <v>-1519.8500000000001</v>
      </c>
      <c r="E56" s="9"/>
      <c r="F56" s="9"/>
      <c r="G56" s="9"/>
      <c r="H56" s="9">
        <f>SUM(G46:G55)</f>
        <v>-202</v>
      </c>
      <c r="I56" s="9"/>
      <c r="J56" s="9"/>
      <c r="K56" s="9">
        <f>SUM(J46:J55)</f>
        <v>-184.05</v>
      </c>
      <c r="L56" s="9"/>
      <c r="N56" s="12"/>
      <c r="O56" s="13"/>
      <c r="P56" s="13"/>
    </row>
    <row r="57" spans="2:16" ht="12.75">
      <c r="B57" s="9"/>
      <c r="C57" s="9"/>
      <c r="D57" s="10"/>
      <c r="E57" s="9"/>
      <c r="F57" s="9"/>
      <c r="G57" s="9"/>
      <c r="H57" s="10"/>
      <c r="I57" s="9"/>
      <c r="J57" s="9"/>
      <c r="K57" s="10"/>
      <c r="L57" s="9"/>
      <c r="N57" s="12"/>
      <c r="O57" s="13"/>
      <c r="P57" s="13"/>
    </row>
    <row r="58" spans="1:16" ht="12.75">
      <c r="A58" s="7" t="s">
        <v>11</v>
      </c>
      <c r="B58" s="9"/>
      <c r="C58" s="9"/>
      <c r="D58" s="9">
        <f>D56+D42+D26</f>
        <v>12288.031</v>
      </c>
      <c r="E58" s="9"/>
      <c r="F58" s="9"/>
      <c r="G58" s="9"/>
      <c r="H58" s="9">
        <f>H56+H42+H26</f>
        <v>12028.250000000002</v>
      </c>
      <c r="I58" s="9"/>
      <c r="J58" s="9"/>
      <c r="K58" s="9">
        <f>K56+K42+K26</f>
        <v>5971.530000000001</v>
      </c>
      <c r="L58" s="9"/>
      <c r="N58" s="12"/>
      <c r="O58" s="13"/>
      <c r="P58" s="13"/>
    </row>
    <row r="59" spans="2:1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N59" s="12"/>
      <c r="O59" s="13"/>
      <c r="P59" s="13"/>
    </row>
    <row r="60" spans="1:16" ht="12.75">
      <c r="A60" s="1" t="s">
        <v>12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N60" s="12"/>
      <c r="O60" s="13"/>
      <c r="P60" s="13"/>
    </row>
    <row r="61" spans="2:15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O61" s="4"/>
    </row>
    <row r="62" spans="1:15" ht="12.75">
      <c r="A62" s="14" t="s">
        <v>19</v>
      </c>
      <c r="B62" s="9"/>
      <c r="C62" s="9">
        <v>-338.9</v>
      </c>
      <c r="D62" s="9"/>
      <c r="E62" s="9"/>
      <c r="F62" s="9"/>
      <c r="G62" s="9">
        <v>-200.9</v>
      </c>
      <c r="H62" s="9"/>
      <c r="I62" s="9"/>
      <c r="J62" s="9">
        <f>-194.61-400</f>
        <v>-594.61</v>
      </c>
      <c r="K62" s="9"/>
      <c r="L62" s="9"/>
      <c r="O62" s="4"/>
    </row>
    <row r="63" spans="1:15" ht="12.75">
      <c r="A63" s="8" t="s">
        <v>26</v>
      </c>
      <c r="B63" s="9"/>
      <c r="C63" s="9">
        <v>0</v>
      </c>
      <c r="D63" s="9"/>
      <c r="E63" s="9"/>
      <c r="F63" s="9"/>
      <c r="G63" s="9">
        <v>0</v>
      </c>
      <c r="H63" s="9"/>
      <c r="I63" s="9"/>
      <c r="J63" s="9">
        <v>-25</v>
      </c>
      <c r="K63" s="9"/>
      <c r="L63" s="9"/>
      <c r="O63" s="4"/>
    </row>
    <row r="64" spans="1:15" ht="12.75">
      <c r="A64" s="15" t="s">
        <v>38</v>
      </c>
      <c r="B64" s="9"/>
      <c r="C64" s="9">
        <v>-1682.5</v>
      </c>
      <c r="D64" s="9"/>
      <c r="E64" s="9"/>
      <c r="F64" s="9"/>
      <c r="G64" s="9">
        <v>-9000</v>
      </c>
      <c r="H64" s="9"/>
      <c r="I64" s="9"/>
      <c r="J64" s="9">
        <v>0</v>
      </c>
      <c r="K64" s="9"/>
      <c r="L64" s="9"/>
      <c r="O64" s="4"/>
    </row>
    <row r="65" spans="1:15" ht="12.75">
      <c r="A65" s="8" t="s">
        <v>27</v>
      </c>
      <c r="B65" s="9"/>
      <c r="C65" s="9">
        <v>0</v>
      </c>
      <c r="D65" s="9"/>
      <c r="E65" s="9"/>
      <c r="F65" s="9"/>
      <c r="G65" s="9">
        <v>0</v>
      </c>
      <c r="H65" s="9"/>
      <c r="I65" s="9"/>
      <c r="J65" s="9">
        <v>-875</v>
      </c>
      <c r="K65" s="9"/>
      <c r="L65" s="9"/>
      <c r="O65" s="4"/>
    </row>
    <row r="66" spans="1:15" ht="12.75">
      <c r="A66" s="8" t="s">
        <v>25</v>
      </c>
      <c r="B66" s="9"/>
      <c r="C66" s="9">
        <v>-560</v>
      </c>
      <c r="D66" s="9"/>
      <c r="E66" s="9"/>
      <c r="F66" s="9"/>
      <c r="G66" s="9">
        <v>-500</v>
      </c>
      <c r="H66" s="9"/>
      <c r="I66" s="9"/>
      <c r="J66" s="9">
        <v>-500</v>
      </c>
      <c r="K66" s="9"/>
      <c r="L66" s="9"/>
      <c r="O66" s="4"/>
    </row>
    <row r="67" spans="1:15" ht="12.75">
      <c r="A67" s="15" t="s">
        <v>24</v>
      </c>
      <c r="B67" s="9"/>
      <c r="C67" s="9">
        <v>-500</v>
      </c>
      <c r="D67" s="9"/>
      <c r="E67" s="9"/>
      <c r="F67" s="9"/>
      <c r="G67" s="9">
        <v>-500</v>
      </c>
      <c r="H67" s="9"/>
      <c r="I67" s="9"/>
      <c r="J67" s="9">
        <v>-500</v>
      </c>
      <c r="K67" s="9"/>
      <c r="L67" s="9"/>
      <c r="O67" s="4"/>
    </row>
    <row r="68" spans="1:15" ht="12.75">
      <c r="A68" s="15" t="s">
        <v>53</v>
      </c>
      <c r="B68" s="9"/>
      <c r="C68" s="9">
        <v>-332.95</v>
      </c>
      <c r="D68" s="9"/>
      <c r="E68" s="9"/>
      <c r="F68" s="9"/>
      <c r="G68" s="9">
        <v>0</v>
      </c>
      <c r="H68" s="9"/>
      <c r="I68" s="9"/>
      <c r="J68" s="9">
        <v>0</v>
      </c>
      <c r="K68" s="9"/>
      <c r="L68" s="9"/>
      <c r="O68" s="4"/>
    </row>
    <row r="69" spans="1:15" ht="12.75">
      <c r="A69" s="8" t="s">
        <v>20</v>
      </c>
      <c r="B69" s="9"/>
      <c r="C69" s="9">
        <f>-(501.87+495.35)</f>
        <v>-997.22</v>
      </c>
      <c r="D69" s="9"/>
      <c r="E69" s="9"/>
      <c r="F69" s="9"/>
      <c r="G69" s="9">
        <v>-765</v>
      </c>
      <c r="H69" s="9"/>
      <c r="I69" s="9"/>
      <c r="J69" s="9">
        <v>-575</v>
      </c>
      <c r="K69" s="9"/>
      <c r="L69" s="9"/>
      <c r="O69" s="4"/>
    </row>
    <row r="70" spans="1:15" ht="12.75">
      <c r="A70" s="8" t="s">
        <v>58</v>
      </c>
      <c r="B70" s="9"/>
      <c r="C70" s="9">
        <f>-323.38-939.3</f>
        <v>-1262.6799999999998</v>
      </c>
      <c r="D70" s="9"/>
      <c r="E70" s="9"/>
      <c r="F70" s="9"/>
      <c r="G70" s="9">
        <v>-946.2</v>
      </c>
      <c r="H70" s="9"/>
      <c r="I70" s="9"/>
      <c r="J70" s="9">
        <v>0</v>
      </c>
      <c r="K70" s="9"/>
      <c r="L70" s="9"/>
      <c r="O70" s="4"/>
    </row>
    <row r="71" spans="1:15" ht="12.75">
      <c r="A71" s="8" t="s">
        <v>39</v>
      </c>
      <c r="B71" s="9"/>
      <c r="C71" s="9"/>
      <c r="D71" s="9"/>
      <c r="E71" s="9"/>
      <c r="F71" s="9"/>
      <c r="G71" s="9">
        <v>-440</v>
      </c>
      <c r="H71" s="9"/>
      <c r="I71" s="9"/>
      <c r="J71" s="9">
        <v>0</v>
      </c>
      <c r="K71" s="9"/>
      <c r="L71" s="9"/>
      <c r="O71" s="4"/>
    </row>
    <row r="72" spans="1:15" ht="12.75">
      <c r="A72" s="8" t="s">
        <v>52</v>
      </c>
      <c r="B72" s="9"/>
      <c r="C72" s="9">
        <v>-375.9210000000055</v>
      </c>
      <c r="D72" s="9"/>
      <c r="E72" s="9"/>
      <c r="F72" s="9"/>
      <c r="G72" s="9"/>
      <c r="H72" s="9"/>
      <c r="I72" s="9"/>
      <c r="J72" s="9"/>
      <c r="K72" s="9"/>
      <c r="L72" s="9"/>
      <c r="O72" s="4"/>
    </row>
    <row r="73" spans="1:15" ht="12.75">
      <c r="A73" s="8" t="s">
        <v>55</v>
      </c>
      <c r="B73" s="9"/>
      <c r="C73" s="9">
        <v>-71</v>
      </c>
      <c r="D73" s="9"/>
      <c r="E73" s="9"/>
      <c r="F73" s="9"/>
      <c r="G73" s="9"/>
      <c r="H73" s="9"/>
      <c r="I73" s="9"/>
      <c r="J73" s="9"/>
      <c r="K73" s="9"/>
      <c r="L73" s="9"/>
      <c r="O73" s="4"/>
    </row>
    <row r="74" spans="1:15" ht="12.75">
      <c r="A74" s="8" t="s">
        <v>57</v>
      </c>
      <c r="B74" s="9"/>
      <c r="C74" s="9">
        <v>-27</v>
      </c>
      <c r="D74" s="9"/>
      <c r="E74" s="9"/>
      <c r="F74" s="9"/>
      <c r="G74" s="9"/>
      <c r="H74" s="9"/>
      <c r="I74" s="9"/>
      <c r="J74" s="9"/>
      <c r="K74" s="9"/>
      <c r="L74" s="9"/>
      <c r="O74" s="4"/>
    </row>
    <row r="75" spans="1:15" ht="12.75">
      <c r="A75" s="15" t="s">
        <v>54</v>
      </c>
      <c r="B75" s="9"/>
      <c r="C75" s="10">
        <v>-4936.5</v>
      </c>
      <c r="D75" s="9"/>
      <c r="E75" s="9"/>
      <c r="F75" s="9"/>
      <c r="G75" s="10"/>
      <c r="H75" s="9"/>
      <c r="I75" s="9"/>
      <c r="J75" s="10"/>
      <c r="K75" s="9"/>
      <c r="L75" s="9"/>
      <c r="O75" s="4"/>
    </row>
    <row r="76" spans="2:15" ht="12.75">
      <c r="B76" s="9"/>
      <c r="C76" s="9"/>
      <c r="D76" s="9">
        <f>SUM(C62:C75)</f>
        <v>-11084.671000000006</v>
      </c>
      <c r="E76" s="9"/>
      <c r="F76" s="9"/>
      <c r="G76" s="9"/>
      <c r="H76" s="9">
        <f>SUM(G62:G75)</f>
        <v>-12352.1</v>
      </c>
      <c r="I76" s="9"/>
      <c r="J76" s="9"/>
      <c r="K76" s="9">
        <f>SUM(J62:J75)</f>
        <v>-3069.61</v>
      </c>
      <c r="L76" s="9"/>
      <c r="O76" s="6"/>
    </row>
    <row r="77" spans="2:15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O77" s="4"/>
    </row>
    <row r="78" spans="1:15" ht="13.5" thickBot="1">
      <c r="A78" s="2" t="s">
        <v>13</v>
      </c>
      <c r="B78" s="9"/>
      <c r="C78" s="9"/>
      <c r="D78" s="11">
        <f>D58+D76</f>
        <v>1203.3599999999951</v>
      </c>
      <c r="E78" s="9"/>
      <c r="F78" s="9"/>
      <c r="G78" s="9"/>
      <c r="H78" s="11">
        <f>H58+H76</f>
        <v>-323.84999999999854</v>
      </c>
      <c r="I78" s="9"/>
      <c r="J78" s="9"/>
      <c r="K78" s="11">
        <f>K58+K76</f>
        <v>2901.9200000000005</v>
      </c>
      <c r="L78" s="9"/>
      <c r="O78" s="6"/>
    </row>
    <row r="79" ht="13.5" thickTop="1">
      <c r="N79" s="4"/>
    </row>
    <row r="80" spans="2:15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/>
      <c r="N80"/>
      <c r="O80"/>
    </row>
    <row r="81" spans="1:15" ht="12.75">
      <c r="A81" s="16" t="s">
        <v>41</v>
      </c>
      <c r="B81"/>
      <c r="C81"/>
      <c r="D81"/>
      <c r="E81" s="16" t="s">
        <v>28</v>
      </c>
      <c r="F81"/>
      <c r="H81"/>
      <c r="I81"/>
      <c r="K81"/>
      <c r="L81"/>
      <c r="M81"/>
      <c r="N81"/>
      <c r="O81"/>
    </row>
    <row r="82" spans="1:15" ht="12.75">
      <c r="A82"/>
      <c r="B82"/>
      <c r="C82"/>
      <c r="D82"/>
      <c r="E82"/>
      <c r="F82"/>
      <c r="H82"/>
      <c r="I82"/>
      <c r="K82"/>
      <c r="L82"/>
      <c r="M82"/>
      <c r="N82"/>
      <c r="O82"/>
    </row>
    <row r="83" spans="1:15" ht="12.75">
      <c r="A83" s="2" t="s">
        <v>29</v>
      </c>
      <c r="B83"/>
      <c r="C83"/>
      <c r="D83"/>
      <c r="E83" t="s">
        <v>30</v>
      </c>
      <c r="F83"/>
      <c r="H83"/>
      <c r="I83"/>
      <c r="K83"/>
      <c r="L83"/>
      <c r="M83"/>
      <c r="N83"/>
      <c r="O83"/>
    </row>
    <row r="84" spans="1:15" ht="12.75">
      <c r="A84"/>
      <c r="B84"/>
      <c r="C84"/>
      <c r="D84"/>
      <c r="E84"/>
      <c r="F84"/>
      <c r="H84"/>
      <c r="I84"/>
      <c r="K84"/>
      <c r="L84"/>
      <c r="M84"/>
      <c r="N84"/>
      <c r="O84"/>
    </row>
    <row r="85" spans="1:15" ht="12.75">
      <c r="A85" t="s">
        <v>31</v>
      </c>
      <c r="B85"/>
      <c r="C85"/>
      <c r="D85"/>
      <c r="E85" t="s">
        <v>31</v>
      </c>
      <c r="F85"/>
      <c r="H85"/>
      <c r="I85"/>
      <c r="K85"/>
      <c r="L85"/>
      <c r="M85"/>
      <c r="N85"/>
      <c r="O85"/>
    </row>
    <row r="86" spans="13:15" ht="12.75">
      <c r="M86"/>
      <c r="N86"/>
      <c r="O86"/>
    </row>
    <row r="87" spans="1:15" ht="12.75">
      <c r="A87" s="18" t="s">
        <v>43</v>
      </c>
      <c r="O87"/>
    </row>
    <row r="88" spans="1:3" ht="12.75">
      <c r="A88" s="15" t="s">
        <v>46</v>
      </c>
      <c r="C88" s="9">
        <f>C15+C34</f>
        <v>4596.74</v>
      </c>
    </row>
    <row r="89" spans="1:3" ht="12.75">
      <c r="A89" s="2" t="s">
        <v>6</v>
      </c>
      <c r="C89" s="9">
        <f>C21+C40</f>
        <v>3926.8100000000004</v>
      </c>
    </row>
    <row r="90" spans="1:3" ht="12.75">
      <c r="A90" s="15" t="s">
        <v>49</v>
      </c>
      <c r="C90" s="9">
        <f>C18+C37</f>
        <v>2399</v>
      </c>
    </row>
    <row r="91" spans="1:3" ht="12.75">
      <c r="A91" s="15" t="s">
        <v>44</v>
      </c>
      <c r="C91" s="9">
        <f>C9+C29</f>
        <v>802.6300000000001</v>
      </c>
    </row>
    <row r="92" spans="1:3" ht="12.75">
      <c r="A92" s="15" t="s">
        <v>60</v>
      </c>
      <c r="C92" s="9">
        <f>C24</f>
        <v>466.45</v>
      </c>
    </row>
    <row r="93" spans="1:3" ht="12.75">
      <c r="A93" s="15" t="s">
        <v>4</v>
      </c>
      <c r="C93" s="9">
        <f>C14+C33</f>
        <v>396.53999999999996</v>
      </c>
    </row>
    <row r="94" spans="1:3" ht="12.75">
      <c r="A94" s="15" t="s">
        <v>3</v>
      </c>
      <c r="C94" s="9">
        <f>C16+C35</f>
        <v>368</v>
      </c>
    </row>
    <row r="95" spans="1:3" ht="12.75">
      <c r="A95" s="2" t="s">
        <v>5</v>
      </c>
      <c r="C95" s="9">
        <f>C20+C39</f>
        <v>179.59000000000015</v>
      </c>
    </row>
    <row r="96" spans="1:3" ht="12.75">
      <c r="A96" s="15" t="s">
        <v>45</v>
      </c>
      <c r="C96" s="9">
        <f>C11+C31</f>
        <v>125.42099999999999</v>
      </c>
    </row>
    <row r="97" spans="1:3" ht="12.75">
      <c r="A97" s="14" t="s">
        <v>47</v>
      </c>
      <c r="C97" s="9">
        <f>C10+C30</f>
        <v>104.5</v>
      </c>
    </row>
  </sheetData>
  <sheetProtection/>
  <mergeCells count="3">
    <mergeCell ref="J5:K5"/>
    <mergeCell ref="G5:H5"/>
    <mergeCell ref="C5:D5"/>
  </mergeCells>
  <printOptions horizontalCentered="1"/>
  <pageMargins left="0.35433070866141736" right="0.15748031496062992" top="0.3937007874015748" bottom="0.3937007874015748" header="0.5118110236220472" footer="0.5118110236220472"/>
  <pageSetup fitToHeight="1" fitToWidth="1" horizontalDpi="300" verticalDpi="300" orientation="portrait" paperSize="9" scale="75" r:id="rId1"/>
  <ignoredErrors>
    <ignoredError sqref="D7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Gloster</dc:creator>
  <cp:keywords/>
  <dc:description/>
  <cp:lastModifiedBy>Rebecca Judson</cp:lastModifiedBy>
  <cp:lastPrinted>2019-09-24T18:04:48Z</cp:lastPrinted>
  <dcterms:created xsi:type="dcterms:W3CDTF">2011-09-10T16:58:02Z</dcterms:created>
  <dcterms:modified xsi:type="dcterms:W3CDTF">2019-09-24T21:08:07Z</dcterms:modified>
  <cp:category/>
  <cp:version/>
  <cp:contentType/>
  <cp:contentStatus/>
</cp:coreProperties>
</file>